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08"/>
  <workbookPr defaultThemeVersion="124226"/>
  <mc:AlternateContent xmlns:mc="http://schemas.openxmlformats.org/markup-compatibility/2006">
    <mc:Choice Requires="x15">
      <x15ac:absPath xmlns:x15ac="http://schemas.microsoft.com/office/spreadsheetml/2010/11/ac" url="https://nyco365.sharepoint.com/sites/HPD-ONS_All/Shared Documents/05 - Predevelopment Planning and Urban Design/3.0 PROJECTS/2025_QN_HPS Parcel E/5.0 RFP/5.3 Addenda/Addendum 1/"/>
    </mc:Choice>
  </mc:AlternateContent>
  <xr:revisionPtr revIDLastSave="7" documentId="13_ncr:1_{C1470DAB-E348-4F55-B549-F3D7F8F98A18}" xr6:coauthVersionLast="47" xr6:coauthVersionMax="47" xr10:uidLastSave="{6E0A6D64-54A5-4444-A8BD-11594A19C91A}"/>
  <bookViews>
    <workbookView xWindow="5655" yWindow="1575" windowWidth="21600" windowHeight="11295" xr2:uid="{BBFDDB67-28F7-4EFD-8404-5194BEDD8985}"/>
  </bookViews>
  <sheets>
    <sheet name="Instructions" sheetId="13" r:id="rId1"/>
    <sheet name="Sources and Use" sheetId="2" r:id="rId2"/>
    <sheet name="Devel. Bud" sheetId="5" r:id="rId3"/>
    <sheet name="Cons Int &amp; Neg Arb" sheetId="6" r:id="rId4"/>
    <sheet name="Units &amp; Income" sheetId="1" r:id="rId5"/>
    <sheet name="M and O" sheetId="3" r:id="rId6"/>
    <sheet name="Mort" sheetId="4" r:id="rId7"/>
    <sheet name="Cash Flow" sheetId="8" r:id="rId8"/>
    <sheet name="Tax Credit " sheetId="9" r:id="rId9"/>
    <sheet name="Trade Pmt" sheetId="10" r:id="rId10"/>
    <sheet name="Pro Forma Summary" sheetId="14" state="hidden" r:id="rId11"/>
    <sheet name="Fl Area Summary" sheetId="11" r:id="rId12"/>
    <sheet name="MIMI Cost Benefit Analysis" sheetId="19" r:id="rId13"/>
    <sheet name="AMI &amp; Rent 2025" sheetId="18" r:id="rId14"/>
    <sheet name="Expanded UA Table" sheetId="17" r:id="rId15"/>
    <sheet name="Project Summary" sheetId="12" state="hidden" r:id="rId16"/>
  </sheets>
  <externalReferences>
    <externalReference r:id="rId17"/>
    <externalReference r:id="rId18"/>
    <externalReference r:id="rId19"/>
    <externalReference r:id="rId20"/>
    <externalReference r:id="rId21"/>
    <externalReference r:id="rId22"/>
  </externalReferences>
  <definedNames>
    <definedName name="_Fill" localSheetId="13" hidden="1">#REF!</definedName>
    <definedName name="_Fill" localSheetId="12" hidden="1">#REF!</definedName>
    <definedName name="_Fill" hidden="1">#REF!</definedName>
    <definedName name="Average_Size_of_Units">'[1]Cred Memo'!$H$181:$N$182</definedName>
    <definedName name="Balloon_on_HDC_Second_Mortgage">'[1]Cred Memo'!$B$146:$F$152</definedName>
    <definedName name="BLDGRESERVE">'[2]M and O'!#REF!</definedName>
    <definedName name="CONCOST">'[2]Devel. Bud'!#REF!</definedName>
    <definedName name="conint">'[3]Devel. Bud'!#REF!</definedName>
    <definedName name="CONSTINTEREST">'[2]Devel. Bud'!#REF!</definedName>
    <definedName name="Construction_Period__Sources_of_Funds">'[1]Cred Memo'!$B$108:$E$122</definedName>
    <definedName name="Development_Costs">'[1]Cred Memo'!$B$82:$F$103</definedName>
    <definedName name="Development_Team">'[1]Cred Memo'!$B$57:$G$61</definedName>
    <definedName name="ERI">[2]Mort!#REF!</definedName>
    <definedName name="Expenses" localSheetId="12">'[2]M and O'!$C$44</definedName>
    <definedName name="Expenses">'M and O'!$C$42</definedName>
    <definedName name="Financing_Information">'[1]Cred Memo'!$B$66:$G$75</definedName>
    <definedName name="FIRST" localSheetId="12">[2]Mort!$H$31</definedName>
    <definedName name="FIRST">Mort!$H$31</definedName>
    <definedName name="GRR">'[2]Units &amp; Income'!#REF!</definedName>
    <definedName name="HDCDSC">[4]Income!$D$24</definedName>
    <definedName name="I_A">#REF!</definedName>
    <definedName name="LAUNDRY">'Units &amp; Income'!$E$40</definedName>
    <definedName name="Location_Information">'[1]Cred Memo'!$B$49:$G$53</definedName>
    <definedName name="NOI" localSheetId="12">[2]Mort!$D$32</definedName>
    <definedName name="NOI">Mort!$D$32</definedName>
    <definedName name="Operating_Budget">'[1]Cred Memo'!$B$225:$G$243</definedName>
    <definedName name="Permanent_Sources_of_Funds">'[1]Cred Memo'!$B$130:$G$144</definedName>
    <definedName name="_xlnm.Print_Area" localSheetId="13">'AMI &amp; Rent 2025'!$A$1:$M$115</definedName>
    <definedName name="_xlnm.Print_Area" localSheetId="3">'Cons Int &amp; Neg Arb'!$A$1:$F$77</definedName>
    <definedName name="_xlnm.Print_Area" localSheetId="2">'Devel. Bud'!$A$1:$F$107</definedName>
    <definedName name="_xlnm.Print_Area" localSheetId="5">'M and O'!$A$1:$E$50</definedName>
    <definedName name="_xlnm.Print_Area" localSheetId="6">Mort!$A$1:$L$44</definedName>
    <definedName name="_xlnm.Print_Area" localSheetId="15">'Project Summary'!$A$1:$I$53</definedName>
    <definedName name="_xlnm.Print_Area" localSheetId="1">'Sources and Use'!$A$1:$D$41</definedName>
    <definedName name="_xlnm.Print_Area" localSheetId="8">'Tax Credit '!$A$1:$H$78</definedName>
    <definedName name="_xlnm.Print_Area" localSheetId="4">'Units &amp; Income'!$A$1:$K$120</definedName>
    <definedName name="_xlnm.Print_Titles" localSheetId="7">'Cash Flow'!$A:$B</definedName>
    <definedName name="Project_Summary">'[1]Cred Memo'!$B$2:$G$10</definedName>
    <definedName name="ProjectType">[5]Sheet1!$A$1:$A$2</definedName>
    <definedName name="RENT1">#REF!</definedName>
    <definedName name="Res_DUs">[6]Data!$M$75</definedName>
    <definedName name="Residential_Data">'[1]Cred Memo'!$H$188:$L$206</definedName>
    <definedName name="ROOMS">'Units &amp; Income'!$E$22</definedName>
    <definedName name="SECOND" localSheetId="12">[2]Mort!$I$31</definedName>
    <definedName name="SECOND">Mort!$I$31</definedName>
    <definedName name="Second_Mortgage">Mort!$I$23</definedName>
    <definedName name="solver_adj" localSheetId="13" hidden="1">'AMI &amp; Rent 2025'!#REF!</definedName>
    <definedName name="solver_cvg" localSheetId="13" hidden="1">0.0001</definedName>
    <definedName name="solver_drv" localSheetId="13" hidden="1">1</definedName>
    <definedName name="solver_est" localSheetId="13" hidden="1">1</definedName>
    <definedName name="solver_itr" localSheetId="13" hidden="1">100</definedName>
    <definedName name="solver_lin" localSheetId="13" hidden="1">2</definedName>
    <definedName name="solver_neg" localSheetId="13" hidden="1">2</definedName>
    <definedName name="solver_num" localSheetId="13" hidden="1">0</definedName>
    <definedName name="solver_nwt" localSheetId="13" hidden="1">1</definedName>
    <definedName name="solver_opt" localSheetId="13" hidden="1">'AMI &amp; Rent 2025'!#REF!</definedName>
    <definedName name="solver_pre" localSheetId="13" hidden="1">0.000001</definedName>
    <definedName name="solver_scl" localSheetId="13" hidden="1">2</definedName>
    <definedName name="solver_sho" localSheetId="13" hidden="1">2</definedName>
    <definedName name="solver_tim" localSheetId="13" hidden="1">100</definedName>
    <definedName name="solver_tol" localSheetId="13" hidden="1">0.05</definedName>
    <definedName name="solver_typ" localSheetId="13" hidden="1">3</definedName>
    <definedName name="solver_val" localSheetId="13" hidden="1">21520</definedName>
    <definedName name="Square_Footage">'[1]Cred Memo'!$B$15:$D$26</definedName>
    <definedName name="TCAW">#REF!</definedName>
    <definedName name="TOTALLOAN">Mort!$L$31</definedName>
    <definedName name="Unit_Breakdown_by_Rent_Level">'[1]Cred Memo'!$B$30:$D$46</definedName>
    <definedName name="Unit_Distribution_by_Monthly_Rent">'[1]Cred Memo'!$H$169:$O$176</definedName>
    <definedName name="Unit_Distribution_by_Rent_Level">'[1]Cred Memo'!$H$156:$N$163</definedName>
    <definedName name="UNITS">'Units &amp; Income'!$C$22</definedName>
    <definedName name="Z_1ECE83C7_A3CE_4F97_BFD3_498FF783C0D9_.wvu.Cols" localSheetId="5" hidden="1">'M and O'!#REF!</definedName>
    <definedName name="Z_1ECE83C7_A3CE_4F97_BFD3_498FF783C0D9_.wvu.PrintArea" localSheetId="3" hidden="1">'Cons Int &amp; Neg Arb'!$A$1:$F$71</definedName>
    <definedName name="Z_1ECE83C7_A3CE_4F97_BFD3_498FF783C0D9_.wvu.PrintArea" localSheetId="2" hidden="1">'Devel. Bud'!$A$1:$H$112</definedName>
    <definedName name="Z_1ECE83C7_A3CE_4F97_BFD3_498FF783C0D9_.wvu.PrintArea" localSheetId="5" hidden="1">'M and O'!$A$1:$E$53</definedName>
    <definedName name="Z_1ECE83C7_A3CE_4F97_BFD3_498FF783C0D9_.wvu.PrintArea" localSheetId="6" hidden="1">Mort!$A$1:$L$44</definedName>
    <definedName name="Z_1ECE83C7_A3CE_4F97_BFD3_498FF783C0D9_.wvu.PrintArea" localSheetId="1" hidden="1">'Sources and Use'!$A$1:$D$44</definedName>
    <definedName name="Z_1ECE83C7_A3CE_4F97_BFD3_498FF783C0D9_.wvu.PrintArea" localSheetId="4" hidden="1">'Units &amp; Income'!$B$1:$F$45</definedName>
    <definedName name="Z_25C4E7E7_1006_4A2D_BC83_AEE4ADF8A914_.wvu.Cols" localSheetId="5" hidden="1">'M and O'!#REF!</definedName>
    <definedName name="Z_25C4E7E7_1006_4A2D_BC83_AEE4ADF8A914_.wvu.PrintArea" localSheetId="3" hidden="1">'Cons Int &amp; Neg Arb'!$A$1:$F$71</definedName>
    <definedName name="Z_25C4E7E7_1006_4A2D_BC83_AEE4ADF8A914_.wvu.PrintArea" localSheetId="2" hidden="1">'Devel. Bud'!$A$1:$H$112</definedName>
    <definedName name="Z_25C4E7E7_1006_4A2D_BC83_AEE4ADF8A914_.wvu.PrintArea" localSheetId="5" hidden="1">'M and O'!$A$1:$E$53</definedName>
    <definedName name="Z_25C4E7E7_1006_4A2D_BC83_AEE4ADF8A914_.wvu.PrintArea" localSheetId="6" hidden="1">Mort!$A$1:$L$44</definedName>
    <definedName name="Z_25C4E7E7_1006_4A2D_BC83_AEE4ADF8A914_.wvu.PrintArea" localSheetId="1" hidden="1">'Sources and Use'!$A$1:$D$44</definedName>
    <definedName name="Z_25C4E7E7_1006_4A2D_BC83_AEE4ADF8A914_.wvu.PrintArea" localSheetId="4" hidden="1">'Units &amp; Income'!$B$1:$F$45</definedName>
    <definedName name="Z_25C4E7E7_1006_4A2D_BC83_AEE4ADF8A914_.wvu.Rows" localSheetId="3" hidden="1">'Cons Int &amp; Neg Arb'!$27:$30,'Cons Int &amp; Neg Arb'!$46:$52</definedName>
    <definedName name="Z_25C4E7E7_1006_4A2D_BC83_AEE4ADF8A914_.wvu.Rows" localSheetId="2" hidden="1">'Devel. Bud'!$105:$105</definedName>
    <definedName name="Z_25C4E7E7_1006_4A2D_BC83_AEE4ADF8A914_.wvu.Rows" localSheetId="5" hidden="1">'M and O'!$39:$39</definedName>
    <definedName name="Z_25C4E7E7_1006_4A2D_BC83_AEE4ADF8A914_.wvu.Rows" localSheetId="1" hidden="1">'Sources and Use'!#REF!</definedName>
    <definedName name="Z_28F81D13_D146_4D67_8981_BA5D7A496326_.wvu.Cols" localSheetId="5" hidden="1">'M and O'!#REF!</definedName>
    <definedName name="Z_28F81D13_D146_4D67_8981_BA5D7A496326_.wvu.PrintArea" localSheetId="3" hidden="1">'Cons Int &amp; Neg Arb'!$A$1:$I$68</definedName>
    <definedName name="Z_28F81D13_D146_4D67_8981_BA5D7A496326_.wvu.PrintArea" localSheetId="2" hidden="1">'Devel. Bud'!$A$1:$F$111</definedName>
    <definedName name="Z_28F81D13_D146_4D67_8981_BA5D7A496326_.wvu.PrintArea" localSheetId="5" hidden="1">'M and O'!$A$1:$E$52</definedName>
    <definedName name="Z_28F81D13_D146_4D67_8981_BA5D7A496326_.wvu.PrintArea" localSheetId="6" hidden="1">Mort!$A$1:$L$51</definedName>
    <definedName name="Z_28F81D13_D146_4D67_8981_BA5D7A496326_.wvu.PrintArea" localSheetId="1" hidden="1">'Sources and Use'!$A$1:$C$44</definedName>
    <definedName name="Z_28F81D13_D146_4D67_8981_BA5D7A496326_.wvu.PrintArea" localSheetId="4" hidden="1">'Units &amp; Income'!$B$1:$F$45</definedName>
    <definedName name="Z_28F81D13_D146_4D67_8981_BA5D7A496326_.wvu.Rows" localSheetId="3" hidden="1">'Cons Int &amp; Neg Arb'!$55:$55</definedName>
    <definedName name="Z_560D4AFA_61E5_46C3_B0CD_D0EB3053A033_.wvu.Cols" localSheetId="5" hidden="1">'M and O'!#REF!</definedName>
    <definedName name="Z_560D4AFA_61E5_46C3_B0CD_D0EB3053A033_.wvu.PrintArea" localSheetId="3" hidden="1">'Cons Int &amp; Neg Arb'!$A$1:$F$71</definedName>
    <definedName name="Z_560D4AFA_61E5_46C3_B0CD_D0EB3053A033_.wvu.PrintArea" localSheetId="2" hidden="1">'Devel. Bud'!$A$1:$H$112</definedName>
    <definedName name="Z_560D4AFA_61E5_46C3_B0CD_D0EB3053A033_.wvu.PrintArea" localSheetId="5" hidden="1">'M and O'!$A$1:$E$53</definedName>
    <definedName name="Z_560D4AFA_61E5_46C3_B0CD_D0EB3053A033_.wvu.PrintArea" localSheetId="6" hidden="1">Mort!$A$1:$L$44</definedName>
    <definedName name="Z_560D4AFA_61E5_46C3_B0CD_D0EB3053A033_.wvu.PrintArea" localSheetId="1" hidden="1">'Sources and Use'!$A$1:$D$44</definedName>
    <definedName name="Z_560D4AFA_61E5_46C3_B0CD_D0EB3053A033_.wvu.PrintArea" localSheetId="4" hidden="1">'Units &amp; Income'!$B$1:$F$45</definedName>
    <definedName name="Z_560D4AFA_61E5_46C3_B0CD_D0EB3053A033_.wvu.Rows" localSheetId="3" hidden="1">'Cons Int &amp; Neg Arb'!$27:$30,'Cons Int &amp; Neg Arb'!$46:$52</definedName>
    <definedName name="Z_560D4AFA_61E5_46C3_B0CD_D0EB3053A033_.wvu.Rows" localSheetId="2" hidden="1">'Devel. Bud'!$105:$105</definedName>
    <definedName name="Z_560D4AFA_61E5_46C3_B0CD_D0EB3053A033_.wvu.Rows" localSheetId="5" hidden="1">'M and O'!$39:$39</definedName>
    <definedName name="Z_560D4AFA_61E5_46C3_B0CD_D0EB3053A033_.wvu.Rows" localSheetId="1" hidden="1">'Sources and Use'!#REF!</definedName>
    <definedName name="Z_6EF643BE_69F3_424E_8A44_3890161370D4_.wvu.Cols" localSheetId="5" hidden="1">'M and O'!#REF!</definedName>
    <definedName name="Z_6EF643BE_69F3_424E_8A44_3890161370D4_.wvu.PrintArea" localSheetId="3" hidden="1">'Cons Int &amp; Neg Arb'!$A$1:$I$68</definedName>
    <definedName name="Z_6EF643BE_69F3_424E_8A44_3890161370D4_.wvu.PrintArea" localSheetId="2" hidden="1">'Devel. Bud'!$A$1:$F$94</definedName>
    <definedName name="Z_6EF643BE_69F3_424E_8A44_3890161370D4_.wvu.PrintArea" localSheetId="5" hidden="1">'M and O'!$A$1:$E$52</definedName>
    <definedName name="Z_6EF643BE_69F3_424E_8A44_3890161370D4_.wvu.PrintArea" localSheetId="6" hidden="1">Mort!$A$1:$L$51</definedName>
    <definedName name="Z_6EF643BE_69F3_424E_8A44_3890161370D4_.wvu.PrintArea" localSheetId="1" hidden="1">'Sources and Use'!$A$1:$C$44</definedName>
    <definedName name="Z_6EF643BE_69F3_424E_8A44_3890161370D4_.wvu.PrintArea" localSheetId="4" hidden="1">'Units &amp; Income'!$B$1:$F$45</definedName>
    <definedName name="Z_6EF643BE_69F3_424E_8A44_3890161370D4_.wvu.Rows" localSheetId="3" hidden="1">'Cons Int &amp; Neg Arb'!$55:$55</definedName>
    <definedName name="Z_AEA5979F_5357_4ED6_A6CA_1BB80F5C7A74_.wvu.Cols" localSheetId="5" hidden="1">'M and O'!#REF!</definedName>
    <definedName name="Z_AEA5979F_5357_4ED6_A6CA_1BB80F5C7A74_.wvu.PrintArea" localSheetId="3" hidden="1">'Cons Int &amp; Neg Arb'!$A$1:$I$68</definedName>
    <definedName name="Z_AEA5979F_5357_4ED6_A6CA_1BB80F5C7A74_.wvu.PrintArea" localSheetId="2" hidden="1">'Devel. Bud'!$A$1:$F$94</definedName>
    <definedName name="Z_AEA5979F_5357_4ED6_A6CA_1BB80F5C7A74_.wvu.PrintArea" localSheetId="5" hidden="1">'M and O'!$A$1:$E$52</definedName>
    <definedName name="Z_AEA5979F_5357_4ED6_A6CA_1BB80F5C7A74_.wvu.PrintArea" localSheetId="6" hidden="1">Mort!$A$1:$L$51</definedName>
    <definedName name="Z_AEA5979F_5357_4ED6_A6CA_1BB80F5C7A74_.wvu.PrintArea" localSheetId="1" hidden="1">'Sources and Use'!$A$1:$C$44</definedName>
    <definedName name="Z_AEA5979F_5357_4ED6_A6CA_1BB80F5C7A74_.wvu.PrintArea" localSheetId="4" hidden="1">'Units &amp; Income'!$B$1:$F$45</definedName>
    <definedName name="Z_AEA5979F_5357_4ED6_A6CA_1BB80F5C7A74_.wvu.Rows" localSheetId="3" hidden="1">'Cons Int &amp; Neg Arb'!$55:$55</definedName>
    <definedName name="Z_EB776EFC_3589_4DB5_BEAF_1E83D9703F9E_.wvu.Cols" localSheetId="3" hidden="1">'Cons Int &amp; Neg Arb'!#REF!</definedName>
    <definedName name="Z_EB776EFC_3589_4DB5_BEAF_1E83D9703F9E_.wvu.Cols" localSheetId="2" hidden="1">'Devel. Bud'!#REF!</definedName>
    <definedName name="Z_EB776EFC_3589_4DB5_BEAF_1E83D9703F9E_.wvu.Cols" localSheetId="5" hidden="1">'M and O'!#REF!</definedName>
    <definedName name="Z_EB776EFC_3589_4DB5_BEAF_1E83D9703F9E_.wvu.PrintArea" localSheetId="2" hidden="1">'Devel. Bud'!$A$1:$F$94</definedName>
    <definedName name="Z_EB776EFC_3589_4DB5_BEAF_1E83D9703F9E_.wvu.PrintArea" localSheetId="5" hidden="1">'M and O'!$A$1:$E$52</definedName>
    <definedName name="Z_EB776EFC_3589_4DB5_BEAF_1E83D9703F9E_.wvu.PrintArea" localSheetId="6" hidden="1">Mort!$A$1:$L$51</definedName>
    <definedName name="Z_EB776EFC_3589_4DB5_BEAF_1E83D9703F9E_.wvu.PrintArea" localSheetId="4" hidden="1">'Units &amp; Income'!$B$1:$F$45</definedName>
    <definedName name="Z_EB776EFC_3589_4DB5_BEAF_1E83D9703F9E_.wvu.Rows" localSheetId="3" hidden="1">'Cons Int &amp; Neg Arb'!$55:$55</definedName>
    <definedName name="Z_FBB4BF8E_8A9F_4E98_A6F9_5F9BF4C55C67_.wvu.Cols" localSheetId="3" hidden="1">'Cons Int &amp; Neg Arb'!#REF!</definedName>
    <definedName name="Z_FBB4BF8E_8A9F_4E98_A6F9_5F9BF4C55C67_.wvu.Cols" localSheetId="2" hidden="1">'Devel. Bud'!#REF!</definedName>
    <definedName name="Z_FBB4BF8E_8A9F_4E98_A6F9_5F9BF4C55C67_.wvu.Cols" localSheetId="5" hidden="1">'M and O'!#REF!</definedName>
    <definedName name="Z_FBB4BF8E_8A9F_4E98_A6F9_5F9BF4C55C67_.wvu.PrintArea" localSheetId="2" hidden="1">'Devel. Bud'!$A$1:$F$94</definedName>
    <definedName name="Z_FBB4BF8E_8A9F_4E98_A6F9_5F9BF4C55C67_.wvu.PrintArea" localSheetId="5" hidden="1">'M and O'!$A$1:$E$52</definedName>
    <definedName name="Z_FBB4BF8E_8A9F_4E98_A6F9_5F9BF4C55C67_.wvu.PrintArea" localSheetId="6" hidden="1">Mort!$A$1:$L$51</definedName>
    <definedName name="Z_FBB4BF8E_8A9F_4E98_A6F9_5F9BF4C55C67_.wvu.PrintArea" localSheetId="4" hidden="1">'Units &amp; Income'!$B$1:$F$45</definedName>
    <definedName name="Z_FBB4BF8E_8A9F_4E98_A6F9_5F9BF4C55C67_.wvu.Rows" localSheetId="3" hidden="1">'Cons Int &amp; Neg Arb'!$55:$55</definedName>
  </definedNames>
  <calcPr calcId="191028" calcCompleted="0"/>
  <customWorkbookViews>
    <customWorkbookView name="framirez - Personal View" guid="{25C4E7E7-1006-4A2D-BC83-AEE4ADF8A914}" mergeInterval="0" personalView="1" maximized="1" windowWidth="796" windowHeight="402" tabRatio="734" activeSheetId="4"/>
    <customWorkbookView name="Shelly Fox - Personal View" guid="{28F81D13-D146-4D67-8981-BA5D7A496326}" mergeInterval="0" personalView="1" maximized="1" windowWidth="796" windowHeight="428" tabRatio="601" activeSheetId="5"/>
    <customWorkbookView name="grodney - Personal View" guid="{AEA5979F-5357-4ED6-A6CA-1BB80F5C7A74}" mergeInterval="0" personalView="1" maximized="1" windowWidth="1020" windowHeight="604" tabRatio="601" activeSheetId="1"/>
    <customWorkbookView name="  - Personal View" guid="{EB776EFC-3589-4DB5-BEAF-1E83D9703F9E}" mergeInterval="0" personalView="1" maximized="1" windowWidth="1020" windowHeight="632" tabRatio="601" activeSheetId="3"/>
    <customWorkbookView name="rgrossman - Personal View" guid="{FBB4BF8E-8A9F-4E98-A6F9-5F9BF4C55C67}" mergeInterval="0" personalView="1" maximized="1" windowWidth="796" windowHeight="411" tabRatio="601" activeSheetId="5"/>
    <customWorkbookView name="akoffman - Personal View" guid="{6EF643BE-69F3-424E-8A44-3890161370D4}" mergeInterval="0" personalView="1" maximized="1" windowWidth="796" windowHeight="411" tabRatio="601" activeSheetId="5"/>
    <customWorkbookView name="dandrepont - Personal View" guid="{1ECE83C7-A3CE-4F97-BFD3-498FF783C0D9}" mergeInterval="0" personalView="1" xWindow="365" yWindow="33" windowWidth="649" windowHeight="528" tabRatio="734" activeSheetId="5"/>
    <customWorkbookView name="NYC - Personal View" guid="{560D4AFA-61E5-46C3-B0CD-D0EB3053A033}" mergeInterval="0" personalView="1" maximized="1" windowWidth="994" windowHeight="554" tabRatio="734" activeSheetId="10"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9" l="1"/>
  <c r="E29" i="19"/>
  <c r="D29" i="19"/>
  <c r="C29" i="19"/>
  <c r="B29" i="19"/>
  <c r="F21" i="19"/>
  <c r="F23" i="19" s="1"/>
  <c r="F31" i="19" s="1"/>
  <c r="F16" i="19"/>
  <c r="E16" i="19"/>
  <c r="E21" i="19" s="1"/>
  <c r="E23" i="19" s="1"/>
  <c r="E31" i="19" s="1"/>
  <c r="F15" i="19"/>
  <c r="E15" i="19"/>
  <c r="D15" i="19"/>
  <c r="D16" i="19" s="1"/>
  <c r="D21" i="19" s="1"/>
  <c r="D23" i="19" s="1"/>
  <c r="D31" i="19" s="1"/>
  <c r="F11" i="19"/>
  <c r="E11" i="19"/>
  <c r="D11" i="19"/>
  <c r="C11" i="19"/>
  <c r="C15" i="19" s="1"/>
  <c r="C16" i="19" s="1"/>
  <c r="C21" i="19" s="1"/>
  <c r="C23" i="19" s="1"/>
  <c r="C31" i="19" s="1"/>
  <c r="B11" i="19"/>
  <c r="B15" i="19" s="1"/>
  <c r="B16" i="19" s="1"/>
  <c r="B21" i="19" s="1"/>
  <c r="B23" i="19" s="1"/>
  <c r="B31" i="19" s="1"/>
  <c r="B33" i="19" s="1"/>
  <c r="B34" i="19" s="1"/>
  <c r="C8" i="8" l="1"/>
  <c r="G56" i="1" l="1"/>
  <c r="G57" i="1"/>
  <c r="G58" i="1"/>
  <c r="G59" i="1"/>
  <c r="H19" i="9"/>
  <c r="H20" i="9" s="1"/>
  <c r="D99" i="5"/>
  <c r="D87" i="5"/>
  <c r="B13" i="2" s="1"/>
  <c r="C13" i="2" s="1"/>
  <c r="C29" i="8"/>
  <c r="D103" i="5" s="1"/>
  <c r="B31" i="2"/>
  <c r="B30" i="2"/>
  <c r="B27" i="2"/>
  <c r="B26" i="2"/>
  <c r="B12" i="2"/>
  <c r="C12" i="2" s="1"/>
  <c r="B17" i="2"/>
  <c r="B16" i="2"/>
  <c r="I50" i="1" l="1"/>
  <c r="H50" i="1"/>
  <c r="I49" i="1"/>
  <c r="H49" i="1"/>
  <c r="I48" i="1"/>
  <c r="H48" i="1"/>
  <c r="I47" i="1"/>
  <c r="H47" i="1"/>
  <c r="C48" i="1"/>
  <c r="C47" i="1"/>
  <c r="D114" i="18"/>
  <c r="E114" i="18" s="1"/>
  <c r="C114" i="18"/>
  <c r="K113" i="18"/>
  <c r="D113" i="18"/>
  <c r="E113" i="18" s="1"/>
  <c r="K112" i="18"/>
  <c r="K111" i="18"/>
  <c r="L110" i="18"/>
  <c r="L111" i="18" s="1"/>
  <c r="L112" i="18" s="1"/>
  <c r="L113" i="18" s="1"/>
  <c r="L114" i="18" s="1"/>
  <c r="K110" i="18"/>
  <c r="K109" i="18" s="1"/>
  <c r="K108" i="18" s="1"/>
  <c r="K107" i="18" s="1"/>
  <c r="D111" i="18"/>
  <c r="E111" i="18" s="1"/>
  <c r="F106" i="1" s="1"/>
  <c r="L109" i="18"/>
  <c r="C109" i="18"/>
  <c r="D109" i="18" s="1"/>
  <c r="E109" i="18" s="1"/>
  <c r="F104" i="1" s="1"/>
  <c r="L108" i="18"/>
  <c r="D110" i="18"/>
  <c r="E110" i="18" s="1"/>
  <c r="F105" i="1" s="1"/>
  <c r="C104" i="18"/>
  <c r="C102" i="18"/>
  <c r="K101" i="18"/>
  <c r="K100" i="18" s="1"/>
  <c r="D101" i="18"/>
  <c r="E101" i="18" s="1"/>
  <c r="K99" i="18"/>
  <c r="K98" i="18" s="1"/>
  <c r="D99" i="18"/>
  <c r="E99" i="18" s="1"/>
  <c r="L97" i="18"/>
  <c r="L98" i="18" s="1"/>
  <c r="L99" i="18" s="1"/>
  <c r="L100" i="18" s="1"/>
  <c r="L101" i="18" s="1"/>
  <c r="L102" i="18" s="1"/>
  <c r="K97" i="18"/>
  <c r="K96" i="18" s="1"/>
  <c r="D97" i="18"/>
  <c r="E97" i="18" s="1"/>
  <c r="C97" i="18"/>
  <c r="L96" i="18"/>
  <c r="K95" i="18"/>
  <c r="C90" i="18"/>
  <c r="K89" i="18"/>
  <c r="K88" i="18" s="1"/>
  <c r="K87" i="18" s="1"/>
  <c r="K86" i="18" s="1"/>
  <c r="K85" i="18" s="1"/>
  <c r="K84" i="18" s="1"/>
  <c r="K83" i="18" s="1"/>
  <c r="D89" i="18"/>
  <c r="E89" i="18" s="1"/>
  <c r="D87" i="18"/>
  <c r="E87" i="18" s="1"/>
  <c r="F98" i="1" s="1"/>
  <c r="L85" i="18"/>
  <c r="L86" i="18" s="1"/>
  <c r="D85" i="18"/>
  <c r="E85" i="18" s="1"/>
  <c r="F96" i="1" s="1"/>
  <c r="C85" i="18"/>
  <c r="L84" i="18"/>
  <c r="C78" i="18"/>
  <c r="D78" i="18"/>
  <c r="E78" i="18" s="1"/>
  <c r="H78" i="18" s="1"/>
  <c r="K77" i="18"/>
  <c r="K76" i="18" s="1"/>
  <c r="K75" i="18" s="1"/>
  <c r="K74" i="18" s="1"/>
  <c r="K73" i="18" s="1"/>
  <c r="D77" i="18"/>
  <c r="E77" i="18" s="1"/>
  <c r="F77" i="18" s="1"/>
  <c r="D76" i="18"/>
  <c r="E76" i="18" s="1"/>
  <c r="D75" i="18"/>
  <c r="E75" i="18" s="1"/>
  <c r="L73" i="18"/>
  <c r="L74" i="18" s="1"/>
  <c r="C68" i="18" s="1"/>
  <c r="C73" i="18"/>
  <c r="D73" i="18" s="1"/>
  <c r="E73" i="18" s="1"/>
  <c r="L72" i="18"/>
  <c r="K72" i="18"/>
  <c r="K71" i="18" s="1"/>
  <c r="C65" i="18"/>
  <c r="K64" i="18"/>
  <c r="D64" i="18"/>
  <c r="E64" i="18" s="1"/>
  <c r="K63" i="18"/>
  <c r="K62" i="18" s="1"/>
  <c r="D63" i="18"/>
  <c r="E63" i="18" s="1"/>
  <c r="F91" i="1" s="1"/>
  <c r="K61" i="18"/>
  <c r="K60" i="18" s="1"/>
  <c r="K59" i="18" s="1"/>
  <c r="K58" i="18" s="1"/>
  <c r="D62" i="18"/>
  <c r="E62" i="18" s="1"/>
  <c r="F90" i="1" s="1"/>
  <c r="D60" i="18"/>
  <c r="E60" i="18" s="1"/>
  <c r="F88" i="1" s="1"/>
  <c r="C60" i="18"/>
  <c r="L59" i="18"/>
  <c r="L60" i="18" s="1"/>
  <c r="L61" i="18" s="1"/>
  <c r="C52" i="18"/>
  <c r="D52" i="18"/>
  <c r="E52" i="18" s="1"/>
  <c r="K51" i="18"/>
  <c r="D51" i="18"/>
  <c r="E51" i="18" s="1"/>
  <c r="K50" i="18"/>
  <c r="K49" i="18" s="1"/>
  <c r="D50" i="18"/>
  <c r="E50" i="18" s="1"/>
  <c r="F83" i="1" s="1"/>
  <c r="L48" i="18"/>
  <c r="K48" i="18"/>
  <c r="K47" i="18" s="1"/>
  <c r="K46" i="18" s="1"/>
  <c r="K45" i="18" s="1"/>
  <c r="D48" i="18"/>
  <c r="E48" i="18" s="1"/>
  <c r="F81" i="1" s="1"/>
  <c r="D49" i="18"/>
  <c r="E49" i="18" s="1"/>
  <c r="C47" i="18"/>
  <c r="D47" i="18" s="1"/>
  <c r="E47" i="18" s="1"/>
  <c r="L46" i="18"/>
  <c r="L47" i="18" s="1"/>
  <c r="D39" i="18"/>
  <c r="E39" i="18" s="1"/>
  <c r="C39" i="18"/>
  <c r="K38" i="18"/>
  <c r="K37" i="18" s="1"/>
  <c r="K36" i="18" s="1"/>
  <c r="K35" i="18" s="1"/>
  <c r="K34" i="18" s="1"/>
  <c r="D38" i="18"/>
  <c r="E38" i="18" s="1"/>
  <c r="H38" i="18" s="1"/>
  <c r="D36" i="18"/>
  <c r="E36" i="18" s="1"/>
  <c r="F74" i="1" s="1"/>
  <c r="C34" i="18"/>
  <c r="D34" i="18" s="1"/>
  <c r="E34" i="18" s="1"/>
  <c r="F72" i="1" s="1"/>
  <c r="D35" i="18"/>
  <c r="E35" i="18" s="1"/>
  <c r="F73" i="1" s="1"/>
  <c r="L33" i="18"/>
  <c r="L34" i="18" s="1"/>
  <c r="L35" i="18" s="1"/>
  <c r="K33" i="18"/>
  <c r="K32" i="18" s="1"/>
  <c r="C27" i="18"/>
  <c r="K26" i="18"/>
  <c r="K25" i="18" s="1"/>
  <c r="K24" i="18" s="1"/>
  <c r="K23" i="18" s="1"/>
  <c r="K22" i="18" s="1"/>
  <c r="K21" i="18" s="1"/>
  <c r="K20" i="18" s="1"/>
  <c r="D26" i="18"/>
  <c r="E26" i="18" s="1"/>
  <c r="C17" i="18"/>
  <c r="D24" i="18"/>
  <c r="E24" i="18" s="1"/>
  <c r="C22" i="18"/>
  <c r="D22" i="18" s="1"/>
  <c r="E22" i="18" s="1"/>
  <c r="F64" i="1" s="1"/>
  <c r="L21" i="18"/>
  <c r="L22" i="18" s="1"/>
  <c r="L23" i="18" s="1"/>
  <c r="L24" i="18" s="1"/>
  <c r="L25" i="18" s="1"/>
  <c r="L26" i="18" s="1"/>
  <c r="L27" i="18" s="1"/>
  <c r="D23" i="18"/>
  <c r="E23" i="18" s="1"/>
  <c r="F65" i="1" s="1"/>
  <c r="H10" i="18"/>
  <c r="H9" i="18"/>
  <c r="H8" i="18"/>
  <c r="H7" i="18"/>
  <c r="H6" i="18"/>
  <c r="H5" i="18"/>
  <c r="D88" i="18" l="1"/>
  <c r="E88" i="18" s="1"/>
  <c r="F99" i="1" s="1"/>
  <c r="D74" i="18"/>
  <c r="E74" i="18" s="1"/>
  <c r="I74" i="18" s="1"/>
  <c r="D98" i="18"/>
  <c r="E98" i="18" s="1"/>
  <c r="G98" i="18" s="1"/>
  <c r="D37" i="18"/>
  <c r="E37" i="18" s="1"/>
  <c r="F75" i="1" s="1"/>
  <c r="D61" i="18"/>
  <c r="E61" i="18" s="1"/>
  <c r="F89" i="1" s="1"/>
  <c r="F51" i="18"/>
  <c r="H51" i="18"/>
  <c r="G51" i="18"/>
  <c r="G24" i="18"/>
  <c r="F66" i="1"/>
  <c r="I38" i="18"/>
  <c r="G47" i="18"/>
  <c r="F80" i="1"/>
  <c r="G49" i="18"/>
  <c r="F82" i="1"/>
  <c r="G88" i="18"/>
  <c r="D90" i="18"/>
  <c r="E90" i="18" s="1"/>
  <c r="G90" i="18" s="1"/>
  <c r="D100" i="18"/>
  <c r="E100" i="18" s="1"/>
  <c r="D27" i="18"/>
  <c r="E27" i="18" s="1"/>
  <c r="H27" i="18" s="1"/>
  <c r="D65" i="18"/>
  <c r="E65" i="18" s="1"/>
  <c r="H74" i="18"/>
  <c r="D86" i="18"/>
  <c r="E86" i="18" s="1"/>
  <c r="G86" i="18" s="1"/>
  <c r="C80" i="18"/>
  <c r="H88" i="18"/>
  <c r="D102" i="18"/>
  <c r="E102" i="18" s="1"/>
  <c r="D112" i="18"/>
  <c r="E112" i="18" s="1"/>
  <c r="F107" i="1" s="1"/>
  <c r="I39" i="18"/>
  <c r="H39" i="18"/>
  <c r="G39" i="18"/>
  <c r="F39" i="18"/>
  <c r="L36" i="18"/>
  <c r="L37" i="18" s="1"/>
  <c r="L38" i="18" s="1"/>
  <c r="L39" i="18" s="1"/>
  <c r="C29" i="18"/>
  <c r="I48" i="18"/>
  <c r="H48" i="18"/>
  <c r="G48" i="18"/>
  <c r="F48" i="18"/>
  <c r="I87" i="18"/>
  <c r="H87" i="18"/>
  <c r="G87" i="18"/>
  <c r="F87" i="18"/>
  <c r="I35" i="18"/>
  <c r="H35" i="18"/>
  <c r="G35" i="18"/>
  <c r="F35" i="18"/>
  <c r="H22" i="18"/>
  <c r="F22" i="18"/>
  <c r="G22" i="18"/>
  <c r="I22" i="18"/>
  <c r="I50" i="18"/>
  <c r="H50" i="18"/>
  <c r="G50" i="18"/>
  <c r="F50" i="18"/>
  <c r="L87" i="18"/>
  <c r="L88" i="18" s="1"/>
  <c r="L89" i="18" s="1"/>
  <c r="L90" i="18" s="1"/>
  <c r="I89" i="18"/>
  <c r="H89" i="18"/>
  <c r="G89" i="18"/>
  <c r="F89" i="18"/>
  <c r="I111" i="18"/>
  <c r="H111" i="18"/>
  <c r="G111" i="18"/>
  <c r="F111" i="18"/>
  <c r="H26" i="18"/>
  <c r="F26" i="18"/>
  <c r="G36" i="18"/>
  <c r="F36" i="18"/>
  <c r="I36" i="18"/>
  <c r="H52" i="18"/>
  <c r="G52" i="18"/>
  <c r="F52" i="18"/>
  <c r="L62" i="18"/>
  <c r="L63" i="18" s="1"/>
  <c r="L64" i="18" s="1"/>
  <c r="L65" i="18" s="1"/>
  <c r="C55" i="18"/>
  <c r="I64" i="18"/>
  <c r="H64" i="18"/>
  <c r="G76" i="18"/>
  <c r="F76" i="18"/>
  <c r="D25" i="18"/>
  <c r="E25" i="18" s="1"/>
  <c r="F67" i="1" s="1"/>
  <c r="G26" i="18"/>
  <c r="F27" i="18"/>
  <c r="L49" i="18"/>
  <c r="L50" i="18" s="1"/>
  <c r="L51" i="18" s="1"/>
  <c r="L52" i="18" s="1"/>
  <c r="C42" i="18"/>
  <c r="I52" i="18"/>
  <c r="F61" i="18"/>
  <c r="F64" i="18"/>
  <c r="H76" i="18"/>
  <c r="F88" i="18"/>
  <c r="I88" i="18"/>
  <c r="F100" i="18"/>
  <c r="I100" i="18"/>
  <c r="H100" i="18"/>
  <c r="I101" i="18"/>
  <c r="H101" i="18"/>
  <c r="G101" i="18"/>
  <c r="F101" i="18"/>
  <c r="F110" i="18"/>
  <c r="I110" i="18"/>
  <c r="H110" i="18"/>
  <c r="G110" i="18"/>
  <c r="I113" i="18"/>
  <c r="H113" i="18"/>
  <c r="G113" i="18"/>
  <c r="F113" i="18"/>
  <c r="C92" i="18"/>
  <c r="I97" i="18"/>
  <c r="H97" i="18"/>
  <c r="G97" i="18"/>
  <c r="F97" i="18"/>
  <c r="I99" i="18"/>
  <c r="H99" i="18"/>
  <c r="G99" i="18"/>
  <c r="F99" i="18"/>
  <c r="I90" i="18"/>
  <c r="H90" i="18"/>
  <c r="I102" i="18"/>
  <c r="H102" i="18"/>
  <c r="F102" i="18"/>
  <c r="G102" i="18"/>
  <c r="F112" i="18"/>
  <c r="I112" i="18"/>
  <c r="H112" i="18"/>
  <c r="G112" i="18"/>
  <c r="I73" i="18"/>
  <c r="H73" i="18"/>
  <c r="G73" i="18"/>
  <c r="I23" i="18"/>
  <c r="H23" i="18"/>
  <c r="F78" i="18"/>
  <c r="I78" i="18"/>
  <c r="G65" i="18"/>
  <c r="F65" i="18"/>
  <c r="F47" i="18"/>
  <c r="I47" i="18"/>
  <c r="I62" i="18"/>
  <c r="H62" i="18"/>
  <c r="G62" i="18"/>
  <c r="H24" i="18"/>
  <c r="F24" i="18"/>
  <c r="I26" i="18"/>
  <c r="I27" i="18"/>
  <c r="I37" i="18"/>
  <c r="H37" i="18"/>
  <c r="G37" i="18"/>
  <c r="H47" i="18"/>
  <c r="H63" i="18"/>
  <c r="G63" i="18"/>
  <c r="F63" i="18"/>
  <c r="G64" i="18"/>
  <c r="I76" i="18"/>
  <c r="I85" i="18"/>
  <c r="H85" i="18"/>
  <c r="G85" i="18"/>
  <c r="F85" i="18"/>
  <c r="G34" i="18"/>
  <c r="F34" i="18"/>
  <c r="F37" i="18"/>
  <c r="F49" i="18"/>
  <c r="I49" i="18"/>
  <c r="I60" i="18"/>
  <c r="H60" i="18"/>
  <c r="I63" i="18"/>
  <c r="G74" i="18"/>
  <c r="F74" i="18"/>
  <c r="F73" i="18"/>
  <c r="I75" i="18"/>
  <c r="H75" i="18"/>
  <c r="G75" i="18"/>
  <c r="I86" i="18"/>
  <c r="F23" i="18"/>
  <c r="I24" i="18"/>
  <c r="H34" i="18"/>
  <c r="H49" i="18"/>
  <c r="F60" i="18"/>
  <c r="F75" i="18"/>
  <c r="F98" i="18"/>
  <c r="I98" i="18"/>
  <c r="H98" i="18"/>
  <c r="I109" i="18"/>
  <c r="H109" i="18"/>
  <c r="G109" i="18"/>
  <c r="F109" i="18"/>
  <c r="G23" i="18"/>
  <c r="I34" i="18"/>
  <c r="H36" i="18"/>
  <c r="G38" i="18"/>
  <c r="F38" i="18"/>
  <c r="G60" i="18"/>
  <c r="F62" i="18"/>
  <c r="L75" i="18"/>
  <c r="L76" i="18" s="1"/>
  <c r="L77" i="18" s="1"/>
  <c r="L78" i="18" s="1"/>
  <c r="I77" i="18"/>
  <c r="H77" i="18"/>
  <c r="G77" i="18"/>
  <c r="G78" i="18"/>
  <c r="F90" i="18"/>
  <c r="G100" i="18"/>
  <c r="I114" i="18"/>
  <c r="H114" i="18"/>
  <c r="G114" i="18"/>
  <c r="F114" i="18"/>
  <c r="I51" i="18"/>
  <c r="G61" i="18" l="1"/>
  <c r="I61" i="18"/>
  <c r="H61" i="18"/>
  <c r="F86" i="18"/>
  <c r="G27" i="18"/>
  <c r="I65" i="18"/>
  <c r="H65" i="18"/>
  <c r="H86" i="18"/>
  <c r="F97" i="1"/>
  <c r="I25" i="18"/>
  <c r="H25" i="18"/>
  <c r="F25" i="18"/>
  <c r="G25" i="18"/>
  <c r="A2" i="11" l="1"/>
  <c r="A2" i="10"/>
  <c r="A2" i="9"/>
  <c r="B2" i="1"/>
  <c r="A2" i="8" s="1"/>
  <c r="A2" i="5"/>
  <c r="A2" i="6" s="1"/>
  <c r="A2" i="3" s="1"/>
  <c r="A2" i="4" s="1"/>
  <c r="A13" i="2"/>
  <c r="A27" i="2" s="1"/>
  <c r="A14" i="2"/>
  <c r="A28" i="2" s="1"/>
  <c r="G41" i="6"/>
  <c r="G42" i="6"/>
  <c r="G40" i="6"/>
  <c r="G39" i="6"/>
  <c r="G38" i="6"/>
  <c r="G37" i="6"/>
  <c r="G36" i="6"/>
  <c r="D25" i="6"/>
  <c r="D24" i="6"/>
  <c r="D23" i="6"/>
  <c r="H20" i="6"/>
  <c r="D22" i="6"/>
  <c r="D21" i="6"/>
  <c r="G36" i="3" l="1"/>
  <c r="G25" i="3"/>
  <c r="C15" i="3" l="1"/>
  <c r="G30" i="3"/>
  <c r="K12" i="4"/>
  <c r="I34" i="3"/>
  <c r="I33" i="3"/>
  <c r="G34" i="3"/>
  <c r="G33" i="3"/>
  <c r="I26" i="3"/>
  <c r="G27" i="3"/>
  <c r="G26" i="3"/>
  <c r="I22" i="3"/>
  <c r="I21" i="3"/>
  <c r="I16" i="3"/>
  <c r="I14" i="3"/>
  <c r="I13" i="3"/>
  <c r="I12" i="3"/>
  <c r="I11" i="3"/>
  <c r="G23" i="3"/>
  <c r="G22" i="3"/>
  <c r="G21" i="3"/>
  <c r="G20" i="3"/>
  <c r="G19" i="3"/>
  <c r="G18" i="3"/>
  <c r="G10" i="3"/>
  <c r="G16" i="3"/>
  <c r="G15" i="3"/>
  <c r="G14" i="3"/>
  <c r="G12" i="3"/>
  <c r="G11" i="3"/>
  <c r="C16" i="3" l="1"/>
  <c r="C12" i="3"/>
  <c r="C21" i="1"/>
  <c r="C20" i="1"/>
  <c r="C19" i="1"/>
  <c r="C18" i="1"/>
  <c r="E12" i="5" l="1"/>
  <c r="G65" i="1" l="1"/>
  <c r="G97" i="1" s="1"/>
  <c r="G66" i="1"/>
  <c r="G67" i="1"/>
  <c r="G75" i="1" s="1"/>
  <c r="G64" i="1"/>
  <c r="G80" i="1" s="1"/>
  <c r="N48" i="1"/>
  <c r="N49" i="1"/>
  <c r="N50" i="1"/>
  <c r="N47" i="1"/>
  <c r="I108" i="1"/>
  <c r="I60" i="1"/>
  <c r="D54" i="1"/>
  <c r="E58" i="1" s="1"/>
  <c r="F58" i="1" s="1"/>
  <c r="J58" i="1" s="1"/>
  <c r="D102" i="1"/>
  <c r="E106" i="1" s="1"/>
  <c r="D94" i="1"/>
  <c r="E97" i="1" s="1"/>
  <c r="D86" i="1"/>
  <c r="E90" i="1" s="1"/>
  <c r="D78" i="1"/>
  <c r="E83" i="1" s="1"/>
  <c r="D70" i="1"/>
  <c r="E74" i="1" s="1"/>
  <c r="D62" i="1"/>
  <c r="E65" i="1" s="1"/>
  <c r="O48" i="1"/>
  <c r="P48" i="1"/>
  <c r="Q48" i="1"/>
  <c r="R48" i="1"/>
  <c r="S48" i="1"/>
  <c r="T48" i="1"/>
  <c r="O49" i="1"/>
  <c r="P49" i="1"/>
  <c r="Q49" i="1"/>
  <c r="R49" i="1"/>
  <c r="S49" i="1"/>
  <c r="T49" i="1"/>
  <c r="O50" i="1"/>
  <c r="P50" i="1"/>
  <c r="Q50" i="1"/>
  <c r="R50" i="1"/>
  <c r="S50" i="1"/>
  <c r="T50" i="1"/>
  <c r="U49" i="1"/>
  <c r="U51" i="1" s="1"/>
  <c r="T47" i="1"/>
  <c r="S47" i="1"/>
  <c r="R47" i="1"/>
  <c r="R51" i="1" s="1"/>
  <c r="Q47" i="1"/>
  <c r="Q51" i="1" s="1"/>
  <c r="P47" i="1"/>
  <c r="O47" i="1"/>
  <c r="T46" i="1"/>
  <c r="S46" i="1"/>
  <c r="R46" i="1"/>
  <c r="Q46" i="1"/>
  <c r="P46" i="1"/>
  <c r="O46" i="1"/>
  <c r="E33" i="1"/>
  <c r="E32" i="1"/>
  <c r="C11" i="1"/>
  <c r="B9" i="1" s="1"/>
  <c r="I92" i="1"/>
  <c r="I100" i="1"/>
  <c r="I68" i="1"/>
  <c r="I76" i="1"/>
  <c r="I84" i="1"/>
  <c r="E18" i="1"/>
  <c r="E19" i="1"/>
  <c r="E20" i="1"/>
  <c r="E21" i="1"/>
  <c r="A18" i="2"/>
  <c r="A32" i="2"/>
  <c r="F8" i="1"/>
  <c r="C35" i="1"/>
  <c r="E35" i="1" s="1"/>
  <c r="D15" i="4" s="1"/>
  <c r="F9" i="1"/>
  <c r="C37" i="1" s="1"/>
  <c r="E37" i="1" s="1"/>
  <c r="D16" i="4" s="1"/>
  <c r="E31" i="1"/>
  <c r="D14" i="4" s="1"/>
  <c r="A1" i="14"/>
  <c r="A2" i="14"/>
  <c r="G1" i="14"/>
  <c r="F10" i="1"/>
  <c r="D52" i="9"/>
  <c r="C33" i="10"/>
  <c r="C37" i="10" s="1"/>
  <c r="D16" i="5"/>
  <c r="D17" i="5" s="1"/>
  <c r="B17" i="6"/>
  <c r="C17" i="6" s="1"/>
  <c r="D49" i="6" s="1"/>
  <c r="E23" i="1"/>
  <c r="C30" i="3"/>
  <c r="C31" i="3"/>
  <c r="C33" i="3"/>
  <c r="D27" i="4"/>
  <c r="D37" i="5"/>
  <c r="C40" i="9" s="1"/>
  <c r="J111" i="1"/>
  <c r="J112" i="1"/>
  <c r="J113" i="1"/>
  <c r="J114" i="1"/>
  <c r="E13" i="5"/>
  <c r="E14" i="5"/>
  <c r="E15" i="5"/>
  <c r="E11" i="5"/>
  <c r="B61" i="6"/>
  <c r="B64" i="6" s="1"/>
  <c r="C61" i="6"/>
  <c r="C64" i="6" s="1"/>
  <c r="C15" i="6"/>
  <c r="C65" i="6" s="1"/>
  <c r="E36" i="6"/>
  <c r="E38" i="6"/>
  <c r="C16" i="6"/>
  <c r="D39" i="6" s="1"/>
  <c r="E37" i="6"/>
  <c r="E39" i="6"/>
  <c r="E40" i="6"/>
  <c r="E41" i="6"/>
  <c r="E42" i="6"/>
  <c r="B30" i="6"/>
  <c r="E47" i="6" s="1"/>
  <c r="E50" i="6"/>
  <c r="E49" i="6"/>
  <c r="B15" i="2"/>
  <c r="C14" i="9"/>
  <c r="C15" i="9"/>
  <c r="C16" i="9"/>
  <c r="A14" i="9"/>
  <c r="A15" i="9"/>
  <c r="A16" i="9"/>
  <c r="A17" i="9"/>
  <c r="C13" i="9"/>
  <c r="F1" i="11"/>
  <c r="G1" i="12"/>
  <c r="A2" i="12"/>
  <c r="A1" i="12"/>
  <c r="A3" i="11"/>
  <c r="A1" i="11"/>
  <c r="C1" i="10"/>
  <c r="A3" i="10"/>
  <c r="A1" i="10"/>
  <c r="C26" i="9"/>
  <c r="C27" i="9"/>
  <c r="C28" i="9"/>
  <c r="C29" i="9"/>
  <c r="C30" i="9"/>
  <c r="C31" i="9"/>
  <c r="C32" i="9"/>
  <c r="C33" i="9"/>
  <c r="C35" i="9"/>
  <c r="C36" i="9"/>
  <c r="C37" i="9"/>
  <c r="C38" i="9"/>
  <c r="C39" i="9"/>
  <c r="E20" i="11"/>
  <c r="E19" i="11"/>
  <c r="E13" i="11"/>
  <c r="I7" i="12"/>
  <c r="I8" i="12"/>
  <c r="I9" i="12"/>
  <c r="I10" i="12"/>
  <c r="C11" i="12"/>
  <c r="E11" i="12"/>
  <c r="G11" i="12"/>
  <c r="I15" i="12"/>
  <c r="I16" i="12"/>
  <c r="I17" i="12"/>
  <c r="I18" i="12"/>
  <c r="I19" i="12"/>
  <c r="C20" i="12"/>
  <c r="E20" i="12"/>
  <c r="G20" i="12"/>
  <c r="I23" i="12"/>
  <c r="I24" i="12"/>
  <c r="I25" i="12"/>
  <c r="I26" i="12"/>
  <c r="I27" i="12"/>
  <c r="C28" i="12"/>
  <c r="E28" i="12"/>
  <c r="G28" i="12"/>
  <c r="I33" i="12"/>
  <c r="I35" i="12"/>
  <c r="I36" i="12"/>
  <c r="I37" i="12"/>
  <c r="I40" i="12" s="1"/>
  <c r="I38" i="12"/>
  <c r="I39" i="12"/>
  <c r="C40" i="12"/>
  <c r="E40" i="12"/>
  <c r="G40" i="12"/>
  <c r="I43" i="12"/>
  <c r="I44" i="12"/>
  <c r="I45" i="12"/>
  <c r="I46" i="12"/>
  <c r="I47" i="12"/>
  <c r="C48" i="12"/>
  <c r="E48" i="12"/>
  <c r="G48" i="12"/>
  <c r="I52" i="12"/>
  <c r="I53" i="12"/>
  <c r="D21" i="9"/>
  <c r="C76" i="9"/>
  <c r="A83" i="5"/>
  <c r="A9" i="2" s="1"/>
  <c r="A23" i="2" s="1"/>
  <c r="A84" i="5"/>
  <c r="A10" i="2" s="1"/>
  <c r="A24" i="2" s="1"/>
  <c r="A85" i="5"/>
  <c r="A11" i="2" s="1"/>
  <c r="A25" i="2" s="1"/>
  <c r="A90" i="5"/>
  <c r="A16" i="2" s="1"/>
  <c r="A30" i="2" s="1"/>
  <c r="A86" i="5"/>
  <c r="A12" i="2" s="1"/>
  <c r="A26" i="2" s="1"/>
  <c r="A89" i="5"/>
  <c r="A15" i="2" s="1"/>
  <c r="A29" i="2" s="1"/>
  <c r="A91" i="5"/>
  <c r="A17" i="2"/>
  <c r="A31" i="2" s="1"/>
  <c r="A41" i="6"/>
  <c r="A42" i="6"/>
  <c r="A40" i="6"/>
  <c r="C58" i="9"/>
  <c r="C59" i="9"/>
  <c r="C60" i="9"/>
  <c r="C61" i="9"/>
  <c r="C63" i="9"/>
  <c r="A50" i="9"/>
  <c r="C50" i="9"/>
  <c r="G3" i="9"/>
  <c r="B3" i="8"/>
  <c r="K3" i="4"/>
  <c r="D3" i="3"/>
  <c r="I3" i="1"/>
  <c r="E3" i="6"/>
  <c r="E3" i="5"/>
  <c r="A70" i="9"/>
  <c r="A72" i="9"/>
  <c r="A74" i="9"/>
  <c r="A76" i="9"/>
  <c r="A78" i="9"/>
  <c r="A40" i="9"/>
  <c r="A42" i="9"/>
  <c r="A43" i="9"/>
  <c r="A44" i="9"/>
  <c r="A45" i="9"/>
  <c r="A46" i="9"/>
  <c r="A47" i="9"/>
  <c r="C47" i="9"/>
  <c r="A48" i="9"/>
  <c r="C48" i="9"/>
  <c r="A49" i="9"/>
  <c r="C49" i="9"/>
  <c r="A51" i="9"/>
  <c r="C51" i="9"/>
  <c r="A52" i="9"/>
  <c r="A54" i="9"/>
  <c r="A55" i="9"/>
  <c r="A56" i="9"/>
  <c r="A57" i="9"/>
  <c r="A58" i="9"/>
  <c r="A59" i="9"/>
  <c r="A60" i="9"/>
  <c r="A61" i="9"/>
  <c r="A62" i="9"/>
  <c r="C62" i="9"/>
  <c r="A63" i="9"/>
  <c r="A64" i="9"/>
  <c r="A66" i="9"/>
  <c r="A67" i="9"/>
  <c r="C67" i="9"/>
  <c r="A68" i="9"/>
  <c r="A69" i="9"/>
  <c r="C69" i="9"/>
  <c r="A82" i="5"/>
  <c r="A8" i="2" s="1"/>
  <c r="A22" i="2" s="1"/>
  <c r="A38" i="9"/>
  <c r="A39" i="9"/>
  <c r="A27" i="9"/>
  <c r="A28" i="9"/>
  <c r="A29" i="9"/>
  <c r="A30" i="9"/>
  <c r="A31" i="9"/>
  <c r="A32" i="9"/>
  <c r="A33" i="9"/>
  <c r="A34" i="9"/>
  <c r="A35" i="9"/>
  <c r="A36" i="9"/>
  <c r="A37" i="9"/>
  <c r="C9" i="9"/>
  <c r="A11" i="9"/>
  <c r="A12" i="9"/>
  <c r="A13" i="9"/>
  <c r="A21" i="9"/>
  <c r="A24" i="9"/>
  <c r="A26" i="9"/>
  <c r="A9" i="9"/>
  <c r="A3" i="9"/>
  <c r="A1" i="9"/>
  <c r="H16" i="4"/>
  <c r="A3" i="8"/>
  <c r="A107" i="5"/>
  <c r="B1" i="1"/>
  <c r="A1" i="8" s="1"/>
  <c r="A1" i="5"/>
  <c r="A1" i="6" s="1"/>
  <c r="A1" i="3" s="1"/>
  <c r="A1" i="4" s="1"/>
  <c r="B36" i="2"/>
  <c r="B39" i="2"/>
  <c r="B3" i="1"/>
  <c r="A3" i="5" s="1"/>
  <c r="A3" i="6" s="1"/>
  <c r="C57" i="9"/>
  <c r="C34" i="9"/>
  <c r="D40" i="9"/>
  <c r="C70" i="9"/>
  <c r="D72" i="9"/>
  <c r="D64" i="9"/>
  <c r="O51" i="1"/>
  <c r="F24" i="1"/>
  <c r="F6" i="1" s="1"/>
  <c r="A3" i="3" l="1"/>
  <c r="A3" i="4" s="1"/>
  <c r="E72" i="1"/>
  <c r="E105" i="1"/>
  <c r="S51" i="1"/>
  <c r="E104" i="1"/>
  <c r="E48" i="6"/>
  <c r="C28" i="3"/>
  <c r="E73" i="1"/>
  <c r="H65" i="1"/>
  <c r="J65" i="1" s="1"/>
  <c r="E107" i="1"/>
  <c r="E66" i="1"/>
  <c r="H66" i="1" s="1"/>
  <c r="J66" i="1" s="1"/>
  <c r="E64" i="1"/>
  <c r="H64" i="1" s="1"/>
  <c r="J64" i="1" s="1"/>
  <c r="E59" i="1"/>
  <c r="F59" i="1" s="1"/>
  <c r="E82" i="1"/>
  <c r="E56" i="1"/>
  <c r="F56" i="1" s="1"/>
  <c r="G50" i="12"/>
  <c r="E30" i="12"/>
  <c r="D47" i="6"/>
  <c r="E91" i="1"/>
  <c r="C17" i="9"/>
  <c r="D38" i="6"/>
  <c r="E89" i="1"/>
  <c r="B8" i="1"/>
  <c r="E23" i="11"/>
  <c r="P51" i="1"/>
  <c r="V50" i="1"/>
  <c r="V48" i="1"/>
  <c r="D36" i="6"/>
  <c r="I48" i="12"/>
  <c r="C50" i="12"/>
  <c r="C22" i="1"/>
  <c r="C24" i="1" s="1"/>
  <c r="C40" i="1" s="1"/>
  <c r="E40" i="1" s="1"/>
  <c r="E88" i="1"/>
  <c r="I116" i="1"/>
  <c r="B10" i="1"/>
  <c r="B7" i="1"/>
  <c r="J59" i="1"/>
  <c r="G89" i="1"/>
  <c r="G98" i="1"/>
  <c r="G74" i="1"/>
  <c r="H74" i="1" s="1"/>
  <c r="J74" i="1" s="1"/>
  <c r="E81" i="1"/>
  <c r="E96" i="1"/>
  <c r="E80" i="1"/>
  <c r="H80" i="1" s="1"/>
  <c r="J80" i="1" s="1"/>
  <c r="B37" i="2"/>
  <c r="C21" i="9"/>
  <c r="H9" i="9"/>
  <c r="E17" i="5"/>
  <c r="D20" i="4"/>
  <c r="C10" i="8" s="1"/>
  <c r="D10" i="8" s="1"/>
  <c r="E10" i="8" s="1"/>
  <c r="F10" i="8" s="1"/>
  <c r="G10" i="8" s="1"/>
  <c r="H10" i="8" s="1"/>
  <c r="I10" i="8" s="1"/>
  <c r="J10" i="8" s="1"/>
  <c r="K10" i="8" s="1"/>
  <c r="L10" i="8" s="1"/>
  <c r="M10" i="8" s="1"/>
  <c r="N10" i="8" s="1"/>
  <c r="O10" i="8" s="1"/>
  <c r="P10" i="8" s="1"/>
  <c r="Q10" i="8" s="1"/>
  <c r="R10" i="8" s="1"/>
  <c r="S10" i="8" s="1"/>
  <c r="T10" i="8" s="1"/>
  <c r="U10" i="8" s="1"/>
  <c r="V10" i="8" s="1"/>
  <c r="W10" i="8" s="1"/>
  <c r="X10" i="8" s="1"/>
  <c r="Y10" i="8" s="1"/>
  <c r="Z10" i="8" s="1"/>
  <c r="AA10" i="8" s="1"/>
  <c r="AB10" i="8" s="1"/>
  <c r="AC10" i="8" s="1"/>
  <c r="AD10" i="8" s="1"/>
  <c r="AE10" i="8" s="1"/>
  <c r="AF10" i="8" s="1"/>
  <c r="E6" i="1"/>
  <c r="B6" i="1"/>
  <c r="J115" i="1"/>
  <c r="D42" i="6"/>
  <c r="G30" i="12"/>
  <c r="T51" i="1"/>
  <c r="E98" i="1"/>
  <c r="E99" i="1"/>
  <c r="E67" i="1"/>
  <c r="H67" i="1" s="1"/>
  <c r="J67" i="1" s="1"/>
  <c r="V47" i="1"/>
  <c r="N51" i="1"/>
  <c r="G107" i="1"/>
  <c r="H107" i="1" s="1"/>
  <c r="J107" i="1" s="1"/>
  <c r="G91" i="1"/>
  <c r="G83" i="1"/>
  <c r="H83" i="1" s="1"/>
  <c r="J83" i="1" s="1"/>
  <c r="G105" i="1"/>
  <c r="H105" i="1" s="1"/>
  <c r="J105" i="1" s="1"/>
  <c r="G72" i="1"/>
  <c r="H72" i="1" s="1"/>
  <c r="J56" i="1"/>
  <c r="G81" i="1"/>
  <c r="G88" i="1"/>
  <c r="G90" i="1"/>
  <c r="H90" i="1" s="1"/>
  <c r="J90" i="1" s="1"/>
  <c r="G96" i="1"/>
  <c r="G106" i="1"/>
  <c r="H106" i="1" s="1"/>
  <c r="J106" i="1" s="1"/>
  <c r="G82" i="1"/>
  <c r="G99" i="1"/>
  <c r="G104" i="1"/>
  <c r="H104" i="1" s="1"/>
  <c r="J104" i="1" s="1"/>
  <c r="H97" i="1"/>
  <c r="J97" i="1" s="1"/>
  <c r="E57" i="1"/>
  <c r="F57" i="1" s="1"/>
  <c r="J57" i="1" s="1"/>
  <c r="E75" i="1"/>
  <c r="D18" i="4"/>
  <c r="D8" i="8" s="1"/>
  <c r="E8" i="8" s="1"/>
  <c r="F8" i="8" s="1"/>
  <c r="G8" i="8" s="1"/>
  <c r="H8" i="8" s="1"/>
  <c r="I8" i="8" s="1"/>
  <c r="J8" i="8" s="1"/>
  <c r="K8" i="8" s="1"/>
  <c r="L8" i="8" s="1"/>
  <c r="M8" i="8" s="1"/>
  <c r="N8" i="8" s="1"/>
  <c r="O8" i="8" s="1"/>
  <c r="P8" i="8" s="1"/>
  <c r="Q8" i="8" s="1"/>
  <c r="R8" i="8" s="1"/>
  <c r="S8" i="8" s="1"/>
  <c r="T8" i="8" s="1"/>
  <c r="U8" i="8" s="1"/>
  <c r="V8" i="8" s="1"/>
  <c r="W8" i="8" s="1"/>
  <c r="X8" i="8" s="1"/>
  <c r="Y8" i="8" s="1"/>
  <c r="Z8" i="8" s="1"/>
  <c r="AA8" i="8" s="1"/>
  <c r="AB8" i="8" s="1"/>
  <c r="AC8" i="8" s="1"/>
  <c r="AD8" i="8" s="1"/>
  <c r="AE8" i="8" s="1"/>
  <c r="AF8" i="8" s="1"/>
  <c r="D19" i="4"/>
  <c r="C9" i="8" s="1"/>
  <c r="D9" i="8" s="1"/>
  <c r="E9" i="8" s="1"/>
  <c r="F9" i="8" s="1"/>
  <c r="G9" i="8" s="1"/>
  <c r="H9" i="8" s="1"/>
  <c r="I9" i="8" s="1"/>
  <c r="J9" i="8" s="1"/>
  <c r="K9" i="8" s="1"/>
  <c r="L9" i="8" s="1"/>
  <c r="M9" i="8" s="1"/>
  <c r="N9" i="8" s="1"/>
  <c r="O9" i="8" s="1"/>
  <c r="P9" i="8" s="1"/>
  <c r="Q9" i="8" s="1"/>
  <c r="R9" i="8" s="1"/>
  <c r="S9" i="8" s="1"/>
  <c r="T9" i="8" s="1"/>
  <c r="U9" i="8" s="1"/>
  <c r="V9" i="8" s="1"/>
  <c r="W9" i="8" s="1"/>
  <c r="X9" i="8" s="1"/>
  <c r="Y9" i="8" s="1"/>
  <c r="Z9" i="8" s="1"/>
  <c r="AA9" i="8" s="1"/>
  <c r="AB9" i="8" s="1"/>
  <c r="AC9" i="8" s="1"/>
  <c r="AD9" i="8" s="1"/>
  <c r="AE9" i="8" s="1"/>
  <c r="AF9" i="8" s="1"/>
  <c r="I20" i="12"/>
  <c r="D50" i="6"/>
  <c r="D41" i="6"/>
  <c r="D40" i="6"/>
  <c r="D74" i="9"/>
  <c r="D78" i="9" s="1"/>
  <c r="H14" i="9" s="1"/>
  <c r="C30" i="12"/>
  <c r="I28" i="12"/>
  <c r="D37" i="6"/>
  <c r="D48" i="6"/>
  <c r="E22" i="1"/>
  <c r="E24" i="1" s="1"/>
  <c r="D7" i="3" s="1"/>
  <c r="E50" i="12"/>
  <c r="I11" i="12"/>
  <c r="V49" i="1"/>
  <c r="G73" i="1"/>
  <c r="H73" i="1" s="1"/>
  <c r="J73" i="1" s="1"/>
  <c r="B65" i="6"/>
  <c r="C37" i="2" l="1"/>
  <c r="C26" i="3"/>
  <c r="C22" i="3"/>
  <c r="C20" i="3"/>
  <c r="C19" i="3"/>
  <c r="B27" i="4"/>
  <c r="I1" i="12"/>
  <c r="D6" i="3"/>
  <c r="D28" i="3" s="1"/>
  <c r="C26" i="2"/>
  <c r="D1" i="10"/>
  <c r="J72" i="1"/>
  <c r="H96" i="1"/>
  <c r="J96" i="1" s="1"/>
  <c r="H82" i="1"/>
  <c r="J82" i="1" s="1"/>
  <c r="H75" i="1"/>
  <c r="J75" i="1" s="1"/>
  <c r="H89" i="1"/>
  <c r="J89" i="1" s="1"/>
  <c r="H88" i="1"/>
  <c r="J88" i="1" s="1"/>
  <c r="C39" i="2"/>
  <c r="F3" i="6"/>
  <c r="F3" i="5"/>
  <c r="L3" i="4"/>
  <c r="C15" i="2"/>
  <c r="H91" i="1"/>
  <c r="J91" i="1" s="1"/>
  <c r="C17" i="2"/>
  <c r="K31" i="4"/>
  <c r="I25" i="4" s="1"/>
  <c r="J31" i="4"/>
  <c r="I24" i="4" s="1"/>
  <c r="C36" i="2"/>
  <c r="H3" i="9"/>
  <c r="H8" i="9" s="1"/>
  <c r="H10" i="9" s="1"/>
  <c r="G1" i="11"/>
  <c r="I1" i="14"/>
  <c r="C31" i="2"/>
  <c r="I31" i="4"/>
  <c r="D97" i="5" s="1"/>
  <c r="B23" i="2" s="1"/>
  <c r="C23" i="2" s="1"/>
  <c r="F25" i="1"/>
  <c r="E3" i="3"/>
  <c r="J3" i="1"/>
  <c r="D69" i="5"/>
  <c r="D3" i="2"/>
  <c r="C3" i="8"/>
  <c r="B17" i="5"/>
  <c r="I50" i="12"/>
  <c r="B11" i="5"/>
  <c r="H81" i="1"/>
  <c r="J81" i="1" s="1"/>
  <c r="J60" i="1"/>
  <c r="H99" i="1"/>
  <c r="J99" i="1" s="1"/>
  <c r="H98" i="1"/>
  <c r="J98" i="1" s="1"/>
  <c r="D17" i="4"/>
  <c r="E42" i="1"/>
  <c r="J68" i="1"/>
  <c r="J108" i="1"/>
  <c r="H16" i="9"/>
  <c r="H17" i="9" s="1"/>
  <c r="H18" i="9" s="1"/>
  <c r="H15" i="9"/>
  <c r="V51" i="1"/>
  <c r="W49" i="1" s="1"/>
  <c r="C21" i="3"/>
  <c r="I30" i="12"/>
  <c r="I37" i="4" l="1"/>
  <c r="I35" i="4" s="1"/>
  <c r="I34" i="4" s="1"/>
  <c r="I23" i="4"/>
  <c r="I26" i="4" s="1"/>
  <c r="D72" i="5"/>
  <c r="C72" i="9" s="1"/>
  <c r="D83" i="5"/>
  <c r="B40" i="6" s="1"/>
  <c r="C23" i="3"/>
  <c r="C27" i="3"/>
  <c r="C38" i="3"/>
  <c r="C14" i="3"/>
  <c r="C11" i="3"/>
  <c r="C34" i="3"/>
  <c r="D28" i="4" s="1"/>
  <c r="C17" i="8" s="1"/>
  <c r="D17" i="8" s="1"/>
  <c r="E17" i="8" s="1"/>
  <c r="F17" i="8" s="1"/>
  <c r="G17" i="8" s="1"/>
  <c r="H17" i="8" s="1"/>
  <c r="I17" i="8" s="1"/>
  <c r="J17" i="8" s="1"/>
  <c r="K17" i="8" s="1"/>
  <c r="L17" i="8" s="1"/>
  <c r="M17" i="8" s="1"/>
  <c r="N17" i="8" s="1"/>
  <c r="O17" i="8" s="1"/>
  <c r="P17" i="8" s="1"/>
  <c r="Q17" i="8" s="1"/>
  <c r="R17" i="8" s="1"/>
  <c r="S17" i="8" s="1"/>
  <c r="T17" i="8" s="1"/>
  <c r="U17" i="8" s="1"/>
  <c r="V17" i="8" s="1"/>
  <c r="W17" i="8" s="1"/>
  <c r="X17" i="8" s="1"/>
  <c r="Y17" i="8" s="1"/>
  <c r="Z17" i="8" s="1"/>
  <c r="AA17" i="8" s="1"/>
  <c r="AB17" i="8" s="1"/>
  <c r="AC17" i="8" s="1"/>
  <c r="AD17" i="8" s="1"/>
  <c r="AE17" i="8" s="1"/>
  <c r="AF17" i="8" s="1"/>
  <c r="J37" i="4"/>
  <c r="J35" i="4" s="1"/>
  <c r="J34" i="4" s="1"/>
  <c r="C68" i="9"/>
  <c r="D98" i="5"/>
  <c r="D84" i="5" s="1"/>
  <c r="J84" i="1"/>
  <c r="J76" i="1"/>
  <c r="J92" i="1"/>
  <c r="K37" i="4"/>
  <c r="K35" i="4" s="1"/>
  <c r="K36" i="4" s="1"/>
  <c r="J100" i="1"/>
  <c r="D21" i="4"/>
  <c r="D22" i="4" s="1"/>
  <c r="W50" i="1"/>
  <c r="R52" i="1"/>
  <c r="U52" i="1"/>
  <c r="N52" i="1"/>
  <c r="P52" i="1"/>
  <c r="T52" i="1"/>
  <c r="Q52" i="1"/>
  <c r="W48" i="1"/>
  <c r="O52" i="1"/>
  <c r="W47" i="1"/>
  <c r="S52" i="1"/>
  <c r="B49" i="6" l="1"/>
  <c r="F49" i="6" s="1"/>
  <c r="I36" i="4"/>
  <c r="B9" i="2"/>
  <c r="C9" i="2" s="1"/>
  <c r="F40" i="6"/>
  <c r="H40" i="6"/>
  <c r="B28" i="4"/>
  <c r="J36" i="4"/>
  <c r="B24" i="2"/>
  <c r="C24" i="2" s="1"/>
  <c r="J118" i="1"/>
  <c r="J120" i="1" s="1"/>
  <c r="F42" i="1" s="1"/>
  <c r="K34" i="4"/>
  <c r="C11" i="8"/>
  <c r="D11" i="8" s="1"/>
  <c r="E11" i="8" s="1"/>
  <c r="F11" i="8" s="1"/>
  <c r="G11" i="8" s="1"/>
  <c r="H11" i="8" s="1"/>
  <c r="I11" i="8" s="1"/>
  <c r="J11" i="8" s="1"/>
  <c r="K11" i="8" s="1"/>
  <c r="L11" i="8" s="1"/>
  <c r="M11" i="8" s="1"/>
  <c r="N11" i="8" s="1"/>
  <c r="O11" i="8" s="1"/>
  <c r="P11" i="8" s="1"/>
  <c r="Q11" i="8" s="1"/>
  <c r="R11" i="8" s="1"/>
  <c r="S11" i="8" s="1"/>
  <c r="T11" i="8" s="1"/>
  <c r="U11" i="8" s="1"/>
  <c r="V11" i="8" s="1"/>
  <c r="W11" i="8" s="1"/>
  <c r="X11" i="8" s="1"/>
  <c r="Y11" i="8" s="1"/>
  <c r="Z11" i="8" s="1"/>
  <c r="AA11" i="8" s="1"/>
  <c r="AB11" i="8" s="1"/>
  <c r="AC11" i="8" s="1"/>
  <c r="AD11" i="8" s="1"/>
  <c r="AE11" i="8" s="1"/>
  <c r="AF11" i="8" s="1"/>
  <c r="B41" i="6"/>
  <c r="B10" i="2"/>
  <c r="C10" i="2" s="1"/>
  <c r="B50" i="6"/>
  <c r="F50" i="6" s="1"/>
  <c r="F41" i="6" l="1"/>
  <c r="H41" i="6"/>
  <c r="I40" i="6"/>
  <c r="D10" i="4"/>
  <c r="D11" i="4" s="1"/>
  <c r="D12" i="4" s="1"/>
  <c r="I41" i="6" l="1"/>
  <c r="D23" i="4"/>
  <c r="C13" i="3"/>
  <c r="C16" i="8" s="1"/>
  <c r="C7" i="8"/>
  <c r="C12" i="8" s="1"/>
  <c r="D7" i="8" l="1"/>
  <c r="D12" i="8" s="1"/>
  <c r="D16" i="8"/>
  <c r="E16" i="8" s="1"/>
  <c r="F16" i="8" s="1"/>
  <c r="G16" i="8" s="1"/>
  <c r="H16" i="8" s="1"/>
  <c r="I16" i="8" s="1"/>
  <c r="J16" i="8" s="1"/>
  <c r="K16" i="8" s="1"/>
  <c r="L16" i="8" s="1"/>
  <c r="M16" i="8" s="1"/>
  <c r="N16" i="8" s="1"/>
  <c r="O16" i="8" s="1"/>
  <c r="P16" i="8" s="1"/>
  <c r="Q16" i="8" s="1"/>
  <c r="R16" i="8" s="1"/>
  <c r="S16" i="8" s="1"/>
  <c r="T16" i="8" s="1"/>
  <c r="U16" i="8" s="1"/>
  <c r="V16" i="8" s="1"/>
  <c r="W16" i="8" s="1"/>
  <c r="X16" i="8" s="1"/>
  <c r="Y16" i="8" s="1"/>
  <c r="Z16" i="8" s="1"/>
  <c r="AA16" i="8" s="1"/>
  <c r="AB16" i="8" s="1"/>
  <c r="AC16" i="8" s="1"/>
  <c r="AD16" i="8" s="1"/>
  <c r="AE16" i="8" s="1"/>
  <c r="AF16" i="8" s="1"/>
  <c r="E7" i="8" l="1"/>
  <c r="E12" i="8" s="1"/>
  <c r="F7" i="8" l="1"/>
  <c r="F12" i="8" s="1"/>
  <c r="G7" i="8" l="1"/>
  <c r="G12" i="8" s="1"/>
  <c r="H7" i="8" l="1"/>
  <c r="H12" i="8" s="1"/>
  <c r="I7" i="8" l="1"/>
  <c r="J7" i="8" s="1"/>
  <c r="I12" i="8" l="1"/>
  <c r="J12" i="8"/>
  <c r="K7" i="8"/>
  <c r="L7" i="8" l="1"/>
  <c r="K12" i="8"/>
  <c r="L12" i="8" l="1"/>
  <c r="M7" i="8"/>
  <c r="M12" i="8" l="1"/>
  <c r="N7" i="8"/>
  <c r="O7" i="8" l="1"/>
  <c r="N12" i="8"/>
  <c r="P7" i="8" l="1"/>
  <c r="O12" i="8"/>
  <c r="Q7" i="8" l="1"/>
  <c r="P12" i="8"/>
  <c r="Q12" i="8" l="1"/>
  <c r="R7" i="8"/>
  <c r="R12" i="8" l="1"/>
  <c r="S7" i="8"/>
  <c r="S12" i="8" l="1"/>
  <c r="T7" i="8"/>
  <c r="U7" i="8" l="1"/>
  <c r="T12" i="8"/>
  <c r="V7" i="8" l="1"/>
  <c r="U12" i="8"/>
  <c r="V12" i="8" l="1"/>
  <c r="W7" i="8"/>
  <c r="W12" i="8" l="1"/>
  <c r="X7" i="8"/>
  <c r="X12" i="8" l="1"/>
  <c r="Y7" i="8"/>
  <c r="Y12" i="8" l="1"/>
  <c r="Z7" i="8"/>
  <c r="AA7" i="8" l="1"/>
  <c r="Z12" i="8"/>
  <c r="AB7" i="8" l="1"/>
  <c r="AA12" i="8"/>
  <c r="AC7" i="8" l="1"/>
  <c r="AB12" i="8"/>
  <c r="AC12" i="8" l="1"/>
  <c r="AD7" i="8"/>
  <c r="AE7" i="8" l="1"/>
  <c r="AD12" i="8"/>
  <c r="AE12" i="8" l="1"/>
  <c r="AF7" i="8"/>
  <c r="AF12" i="8" s="1"/>
  <c r="F7" i="1" l="1"/>
  <c r="F11" i="1"/>
  <c r="H32" i="4" l="1"/>
  <c r="C16" i="2" l="1"/>
  <c r="C30" i="2"/>
  <c r="B11" i="6" l="1"/>
  <c r="B47" i="6"/>
  <c r="F47" i="6" s="1"/>
  <c r="B48" i="6"/>
  <c r="F48" i="6" s="1"/>
  <c r="C73" i="6"/>
  <c r="C74" i="6"/>
  <c r="C75" i="6" s="1"/>
  <c r="D42" i="5"/>
  <c r="D43" i="5"/>
  <c r="D44" i="5"/>
  <c r="B8" i="2"/>
  <c r="C8" i="2" s="1"/>
  <c r="C45" i="9"/>
  <c r="C46" i="9"/>
  <c r="F51" i="6" l="1"/>
  <c r="D40" i="5"/>
  <c r="D41" i="5"/>
  <c r="C44" i="9" s="1"/>
  <c r="D51" i="5" l="1"/>
  <c r="C43" i="9"/>
  <c r="C52" i="9" l="1"/>
  <c r="D85" i="5"/>
  <c r="B42" i="6" s="1"/>
  <c r="B11" i="2"/>
  <c r="C11" i="2" s="1"/>
  <c r="B25" i="2"/>
  <c r="C25" i="2" s="1"/>
  <c r="F42" i="6" l="1"/>
  <c r="H42" i="6"/>
  <c r="I42" i="6" l="1"/>
  <c r="B29" i="2"/>
  <c r="C29" i="2" s="1"/>
  <c r="V33" i="8"/>
  <c r="V25" i="8"/>
  <c r="V30" i="8"/>
  <c r="V32" i="8"/>
  <c r="H32" i="8"/>
  <c r="H25" i="8"/>
  <c r="H30" i="8"/>
  <c r="H33" i="8"/>
  <c r="E102" i="5"/>
  <c r="D102" i="5"/>
  <c r="B28" i="2"/>
  <c r="U33" i="8"/>
  <c r="U25" i="8"/>
  <c r="U30" i="8"/>
  <c r="U32" i="8"/>
  <c r="U21" i="8"/>
  <c r="U36" i="8"/>
  <c r="AF32" i="8"/>
  <c r="AF25" i="8"/>
  <c r="AF30" i="8"/>
  <c r="AF33" i="8"/>
  <c r="AF35" i="8"/>
  <c r="E107" i="5"/>
  <c r="E96" i="5"/>
  <c r="Z35" i="8"/>
  <c r="Z32" i="8"/>
  <c r="Z25" i="8"/>
  <c r="Z30" i="8"/>
  <c r="Z33" i="8"/>
  <c r="AF18" i="8"/>
  <c r="AE18" i="8"/>
  <c r="AD18" i="8"/>
  <c r="AC18" i="8"/>
  <c r="AB18" i="8"/>
  <c r="AA18" i="8"/>
  <c r="Z18" i="8"/>
  <c r="Y18" i="8"/>
  <c r="X18" i="8"/>
  <c r="W18" i="8"/>
  <c r="V18" i="8"/>
  <c r="U18" i="8"/>
  <c r="T18" i="8"/>
  <c r="S18" i="8"/>
  <c r="R18" i="8"/>
  <c r="Q18" i="8"/>
  <c r="P18" i="8"/>
  <c r="O18" i="8"/>
  <c r="N18" i="8"/>
  <c r="M18" i="8"/>
  <c r="L18" i="8"/>
  <c r="K18" i="8"/>
  <c r="J18" i="8"/>
  <c r="I18" i="8"/>
  <c r="H18" i="8"/>
  <c r="G18" i="8"/>
  <c r="F18" i="8"/>
  <c r="E18" i="8"/>
  <c r="D18" i="8"/>
  <c r="C18" i="8"/>
  <c r="P32" i="8"/>
  <c r="P25" i="8"/>
  <c r="P30" i="8"/>
  <c r="P33" i="8"/>
  <c r="D38" i="2"/>
  <c r="B38" i="2"/>
  <c r="C38" i="2"/>
  <c r="J38" i="4"/>
  <c r="L38" i="4"/>
  <c r="H38" i="4"/>
  <c r="K38" i="4"/>
  <c r="D40" i="4"/>
  <c r="I38" i="4"/>
  <c r="D30" i="2"/>
  <c r="D31" i="2"/>
  <c r="D25" i="2"/>
  <c r="D23" i="2"/>
  <c r="D29" i="2"/>
  <c r="D24" i="2"/>
  <c r="D26" i="2"/>
  <c r="C33" i="2"/>
  <c r="E92" i="5"/>
  <c r="C18" i="2"/>
  <c r="D92" i="5"/>
  <c r="B18" i="2"/>
  <c r="D18" i="2"/>
  <c r="AB33" i="8"/>
  <c r="AB25" i="8"/>
  <c r="AB30" i="8"/>
  <c r="AB32" i="8"/>
  <c r="E32" i="8"/>
  <c r="E25" i="8"/>
  <c r="E30" i="8"/>
  <c r="E33" i="8"/>
  <c r="D33" i="2"/>
  <c r="D22" i="2"/>
  <c r="E71" i="5"/>
  <c r="C74" i="9"/>
  <c r="C22" i="2"/>
  <c r="B22" i="2"/>
  <c r="H11" i="9"/>
  <c r="I37" i="6"/>
  <c r="F37" i="6"/>
  <c r="D37" i="2"/>
  <c r="C41" i="2"/>
  <c r="D39" i="2"/>
  <c r="D107" i="5"/>
  <c r="B33" i="2"/>
  <c r="B41" i="2"/>
  <c r="D36" i="2"/>
  <c r="D41" i="2"/>
  <c r="D32" i="8"/>
  <c r="D25" i="8"/>
  <c r="D30" i="8"/>
  <c r="D33" i="8"/>
  <c r="C36" i="8"/>
  <c r="N32" i="8"/>
  <c r="N25" i="8"/>
  <c r="N30" i="8"/>
  <c r="N33" i="8"/>
  <c r="H35" i="8"/>
  <c r="E106" i="5"/>
  <c r="C32" i="2"/>
  <c r="D106" i="5"/>
  <c r="B32" i="2"/>
  <c r="D32" i="2"/>
  <c r="T35" i="8"/>
  <c r="T32" i="8"/>
  <c r="T25" i="8"/>
  <c r="T30" i="8"/>
  <c r="T33" i="8"/>
  <c r="AF15" i="8"/>
  <c r="AF19" i="8"/>
  <c r="AF21" i="8"/>
  <c r="AF36" i="8"/>
  <c r="R36" i="8"/>
  <c r="R33" i="8"/>
  <c r="R21" i="8"/>
  <c r="R25" i="8"/>
  <c r="R30" i="8"/>
  <c r="R32" i="8"/>
  <c r="Y32" i="8"/>
  <c r="Y25" i="8"/>
  <c r="Y30" i="8"/>
  <c r="Y33" i="8"/>
  <c r="Z19" i="8"/>
  <c r="Z21" i="8"/>
  <c r="Z36" i="8"/>
  <c r="N35" i="8"/>
  <c r="D35" i="8"/>
  <c r="I38" i="6"/>
  <c r="F38" i="6"/>
  <c r="J35" i="8"/>
  <c r="K35" i="8"/>
  <c r="L33" i="8"/>
  <c r="L25" i="8"/>
  <c r="L30" i="8"/>
  <c r="L32" i="8"/>
  <c r="L35" i="8"/>
  <c r="B62" i="6"/>
  <c r="B66" i="6"/>
  <c r="B68" i="6"/>
  <c r="D56" i="5"/>
  <c r="C56" i="9"/>
  <c r="B37" i="6"/>
  <c r="H37" i="6"/>
  <c r="C55" i="9"/>
  <c r="AC32" i="8"/>
  <c r="AC25" i="8"/>
  <c r="AC30" i="8"/>
  <c r="AC33" i="8"/>
  <c r="N19" i="8"/>
  <c r="N21" i="8"/>
  <c r="N36" i="8"/>
  <c r="H19" i="8"/>
  <c r="H21" i="8"/>
  <c r="H36" i="8"/>
  <c r="E88" i="5"/>
  <c r="C14" i="2"/>
  <c r="B14" i="2"/>
  <c r="D14" i="2"/>
  <c r="K36" i="8"/>
  <c r="K32" i="8"/>
  <c r="K19" i="8"/>
  <c r="K21" i="8"/>
  <c r="K25" i="8"/>
  <c r="K30" i="8"/>
  <c r="K33" i="8"/>
  <c r="C10" i="6"/>
  <c r="V35" i="8"/>
  <c r="O35" i="8"/>
  <c r="D19" i="8"/>
  <c r="D21" i="8"/>
  <c r="D36" i="8"/>
  <c r="W32" i="8"/>
  <c r="W25" i="8"/>
  <c r="W30" i="8"/>
  <c r="W33" i="8"/>
  <c r="B38" i="6"/>
  <c r="H38" i="6"/>
  <c r="C35" i="8"/>
  <c r="AB35" i="8"/>
  <c r="C26" i="8"/>
  <c r="C32" i="8"/>
  <c r="C19" i="8"/>
  <c r="C21" i="8"/>
  <c r="C25" i="8"/>
  <c r="C30" i="8"/>
  <c r="C33" i="8"/>
  <c r="I36" i="8"/>
  <c r="I33" i="8"/>
  <c r="I21" i="8"/>
  <c r="I25" i="8"/>
  <c r="I30" i="8"/>
  <c r="I32" i="8"/>
  <c r="AA36" i="8"/>
  <c r="AA33" i="8"/>
  <c r="AA21" i="8"/>
  <c r="AA25" i="8"/>
  <c r="AA30" i="8"/>
  <c r="AA32" i="8"/>
  <c r="J36" i="8"/>
  <c r="J32" i="8"/>
  <c r="J19" i="8"/>
  <c r="J21" i="8"/>
  <c r="J25" i="8"/>
  <c r="J30" i="8"/>
  <c r="J33" i="8"/>
  <c r="AC35" i="8"/>
  <c r="AD33" i="8"/>
  <c r="AD25" i="8"/>
  <c r="AD30" i="8"/>
  <c r="AD32" i="8"/>
  <c r="AE32" i="8"/>
  <c r="AE25" i="8"/>
  <c r="AE30" i="8"/>
  <c r="AE33" i="8"/>
  <c r="E97" i="5"/>
  <c r="E99" i="5"/>
  <c r="E84" i="5"/>
  <c r="E105" i="5"/>
  <c r="E91" i="5"/>
  <c r="E101" i="5"/>
  <c r="E103" i="5"/>
  <c r="E87" i="5"/>
  <c r="C78" i="9"/>
  <c r="E85" i="5"/>
  <c r="E104" i="5"/>
  <c r="E100" i="5"/>
  <c r="E90" i="5"/>
  <c r="E86" i="5"/>
  <c r="E98" i="5"/>
  <c r="E76" i="5"/>
  <c r="E89" i="5"/>
  <c r="E83" i="5"/>
  <c r="D74" i="5"/>
  <c r="D79" i="5"/>
  <c r="E82" i="5"/>
  <c r="E93" i="5"/>
  <c r="L19" i="8"/>
  <c r="L21" i="8"/>
  <c r="L36" i="8"/>
  <c r="H39" i="6"/>
  <c r="B39" i="6"/>
  <c r="F39" i="6"/>
  <c r="I39" i="6"/>
  <c r="AC19" i="8"/>
  <c r="AC21" i="8"/>
  <c r="AC36" i="8"/>
  <c r="I19" i="8"/>
  <c r="I35" i="8"/>
  <c r="T19" i="8"/>
  <c r="T21" i="8"/>
  <c r="T36" i="8"/>
  <c r="I36" i="6"/>
  <c r="I43" i="6"/>
  <c r="V19" i="8"/>
  <c r="V21" i="8"/>
  <c r="V36" i="8"/>
  <c r="W21" i="8"/>
  <c r="W36" i="8"/>
  <c r="Y35" i="8"/>
  <c r="C49" i="3"/>
  <c r="C48" i="3"/>
  <c r="C50" i="3"/>
  <c r="AB19" i="8"/>
  <c r="AB21" i="8"/>
  <c r="AB36" i="8"/>
  <c r="AD21" i="8"/>
  <c r="AD36" i="8"/>
  <c r="AE21" i="8"/>
  <c r="AE36" i="8"/>
  <c r="M35" i="8"/>
  <c r="B26" i="4"/>
  <c r="B29" i="4"/>
  <c r="U19" i="8"/>
  <c r="U35" i="8"/>
  <c r="P21" i="8"/>
  <c r="P36" i="8"/>
  <c r="AD19" i="8"/>
  <c r="AD35" i="8"/>
  <c r="F36" i="6"/>
  <c r="F43" i="6"/>
  <c r="D54" i="5"/>
  <c r="D65" i="5"/>
  <c r="C64" i="9"/>
  <c r="F35" i="8"/>
  <c r="F33" i="8"/>
  <c r="F25" i="8"/>
  <c r="F30" i="8"/>
  <c r="F32" i="8"/>
  <c r="X35" i="8"/>
  <c r="X33" i="8"/>
  <c r="X25" i="8"/>
  <c r="X30" i="8"/>
  <c r="X32" i="8"/>
  <c r="AB15" i="8"/>
  <c r="AC15" i="8"/>
  <c r="AD15" i="8"/>
  <c r="AE15" i="8"/>
  <c r="AE19" i="8"/>
  <c r="AE35" i="8"/>
  <c r="D43" i="3"/>
  <c r="D44" i="3"/>
  <c r="E35" i="8"/>
  <c r="D41" i="4"/>
  <c r="D38" i="4"/>
  <c r="D35" i="4"/>
  <c r="G36" i="8"/>
  <c r="G32" i="8"/>
  <c r="G21" i="8"/>
  <c r="G25" i="8"/>
  <c r="G30" i="8"/>
  <c r="G33" i="8"/>
  <c r="M36" i="8"/>
  <c r="M32" i="8"/>
  <c r="M19" i="8"/>
  <c r="M21" i="8"/>
  <c r="M25" i="8"/>
  <c r="M30" i="8"/>
  <c r="M33" i="8"/>
  <c r="S35" i="8"/>
  <c r="S32" i="8"/>
  <c r="S25" i="8"/>
  <c r="S30" i="8"/>
  <c r="S33" i="8"/>
  <c r="Y19" i="8"/>
  <c r="Y21" i="8"/>
  <c r="Y36" i="8"/>
  <c r="H34" i="4"/>
  <c r="L31" i="4"/>
  <c r="H36" i="4"/>
  <c r="H37" i="4"/>
  <c r="L37" i="4"/>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O36" i="8"/>
  <c r="O32" i="8"/>
  <c r="O19" i="8"/>
  <c r="O21" i="8"/>
  <c r="O25" i="8"/>
  <c r="O30" i="8"/>
  <c r="O33" i="8"/>
  <c r="W19" i="8"/>
  <c r="W35" i="8"/>
  <c r="S19" i="8"/>
  <c r="S21" i="8"/>
  <c r="S36" i="8"/>
  <c r="E19" i="8"/>
  <c r="E21" i="8"/>
  <c r="E36" i="8"/>
  <c r="Q36" i="8"/>
  <c r="Q32" i="8"/>
  <c r="Q21" i="8"/>
  <c r="Q25" i="8"/>
  <c r="Q30" i="8"/>
  <c r="Q33" i="8"/>
  <c r="D12" i="2"/>
  <c r="D16" i="2"/>
  <c r="D10" i="2"/>
  <c r="C19" i="2"/>
  <c r="D13" i="2"/>
  <c r="D15" i="2"/>
  <c r="D17" i="2"/>
  <c r="D11" i="2"/>
  <c r="D9" i="2"/>
  <c r="B10" i="6"/>
  <c r="B36" i="6"/>
  <c r="H36" i="6"/>
  <c r="H43" i="6"/>
  <c r="D55" i="5"/>
  <c r="D88" i="5"/>
  <c r="D93" i="5"/>
  <c r="B19" i="2"/>
  <c r="D8" i="2"/>
  <c r="D19" i="2"/>
  <c r="C9" i="6"/>
  <c r="D96" i="5"/>
  <c r="B9" i="6"/>
  <c r="C62" i="6"/>
  <c r="C66" i="6"/>
  <c r="R19" i="8"/>
  <c r="R35" i="8"/>
  <c r="Q19" i="8"/>
  <c r="Q35" i="8"/>
  <c r="Y15" i="8"/>
  <c r="Z15" i="8"/>
  <c r="AA15" i="8"/>
  <c r="AA19" i="8"/>
  <c r="AA35" i="8"/>
  <c r="P19" i="8"/>
  <c r="P35" i="8"/>
  <c r="H15" i="8"/>
  <c r="I15" i="8"/>
  <c r="J15" i="8"/>
  <c r="K15" i="8"/>
  <c r="L15" i="8"/>
  <c r="M15" i="8"/>
  <c r="N15" i="8"/>
  <c r="O15" i="8"/>
  <c r="P15" i="8"/>
  <c r="Q15" i="8"/>
  <c r="R15" i="8"/>
  <c r="S15" i="8"/>
  <c r="T15" i="8"/>
  <c r="U15" i="8"/>
  <c r="V15" i="8"/>
  <c r="W15" i="8"/>
  <c r="X15" i="8"/>
  <c r="X19" i="8"/>
  <c r="X21" i="8"/>
  <c r="X36" i="8"/>
  <c r="G15" i="8"/>
  <c r="G19" i="8"/>
  <c r="G35" i="8"/>
  <c r="D29" i="4"/>
  <c r="D32" i="4"/>
  <c r="D37" i="4"/>
  <c r="H31" i="4"/>
  <c r="C37" i="3"/>
  <c r="C42" i="3"/>
  <c r="D26" i="4"/>
  <c r="C15" i="8"/>
  <c r="D15" i="8"/>
  <c r="E15" i="8"/>
  <c r="F15" i="8"/>
  <c r="F19" i="8"/>
  <c r="F21" i="8"/>
  <c r="F3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NYC</author>
  </authors>
  <commentList>
    <comment ref="H29" authorId="0" shapeId="0" xr:uid="{00000000-0006-0000-0600-000001000000}">
      <text>
        <r>
          <rPr>
            <b/>
            <sz val="8"/>
            <color indexed="81"/>
            <rFont val="Tahoma"/>
            <family val="2"/>
          </rPr>
          <t>NYC:</t>
        </r>
        <r>
          <rPr>
            <sz val="8"/>
            <color indexed="81"/>
            <rFont val="Tahoma"/>
            <family val="2"/>
          </rPr>
          <t xml:space="preserve">
If I:E ratio or 1st mort DSCR is more restrictive than combined DSCR, then you need to reduce 1st mort here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Budd, William</author>
  </authors>
  <commentList>
    <comment ref="H15" authorId="0" shapeId="0" xr:uid="{00000000-0006-0000-0800-000001000000}">
      <text>
        <r>
          <rPr>
            <b/>
            <sz val="11"/>
            <color indexed="81"/>
            <rFont val="Tahoma"/>
            <family val="2"/>
          </rPr>
          <t xml:space="preserve">Note: </t>
        </r>
        <r>
          <rPr>
            <sz val="11"/>
            <color indexed="81"/>
            <rFont val="Tahoma"/>
            <family val="2"/>
          </rPr>
          <t xml:space="preserve"> Please refer to Qualified Allocation Plan (QAP) for current eligible basis  per unit cap.</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Angus Page</author>
    <author>Vincent Guglietta</author>
  </authors>
  <commentList>
    <comment ref="A5" authorId="0" shapeId="0" xr:uid="{0FB67E44-6C08-4B3B-BB0F-575B7642DAA1}">
      <text>
        <r>
          <rPr>
            <sz val="9"/>
            <color indexed="81"/>
            <rFont val="Tahoma"/>
            <family val="2"/>
          </rPr>
          <t xml:space="preserve">Note that this cell in the 2025 cacluator is not active in income limit/rent calculations 
</t>
        </r>
      </text>
    </comment>
    <comment ref="A6" authorId="1" shapeId="0" xr:uid="{11B3CC4D-9CAA-4961-BA3F-B721011F95FC}">
      <text>
        <r>
          <rPr>
            <sz val="9"/>
            <color indexed="81"/>
            <rFont val="Tahoma"/>
            <family val="2"/>
          </rPr>
          <t>Note that this cell in the 2025 cacluator is not active in income limit/rent calculations 
The FY 2025 Fair Market Rents (</t>
        </r>
        <r>
          <rPr>
            <b/>
            <sz val="9"/>
            <color indexed="81"/>
            <rFont val="Tahoma"/>
            <family val="2"/>
          </rPr>
          <t xml:space="preserve">effective 4/28/2025) </t>
        </r>
        <r>
          <rPr>
            <sz val="9"/>
            <color indexed="81"/>
            <rFont val="Tahoma"/>
            <family val="2"/>
          </rPr>
          <t>for New York, NY 
HUD Metro FMR Area are based on the results of a local rent survey conducted in December 2024.</t>
        </r>
      </text>
    </comment>
  </commentList>
</comments>
</file>

<file path=xl/sharedStrings.xml><?xml version="1.0" encoding="utf-8"?>
<sst xmlns="http://schemas.openxmlformats.org/spreadsheetml/2006/main" count="1287" uniqueCount="592">
  <si>
    <t>Form G</t>
  </si>
  <si>
    <t xml:space="preserve">Financing Submission Template </t>
  </si>
  <si>
    <t>Instructions</t>
  </si>
  <si>
    <t>Please complete this pro forma for the rental component of your project.  Fill in the cells shaded blue.  Keep cells linked and maintain calculations.  If you modify given assumptions, please clearly note the changes.</t>
  </si>
  <si>
    <t xml:space="preserve">Applicants should provide separate pro formas for each component of a project that will be separately financed. </t>
  </si>
  <si>
    <t>Applicants must provide these forms in Excel file format.</t>
  </si>
  <si>
    <t xml:space="preserve">Project Name: </t>
  </si>
  <si>
    <t>Development Team:</t>
  </si>
  <si>
    <t>Site:</t>
  </si>
  <si>
    <t>Units:</t>
  </si>
  <si>
    <t>SOURCES AND USES</t>
  </si>
  <si>
    <t>Construction Sources</t>
  </si>
  <si>
    <t>per DU</t>
  </si>
  <si>
    <t>% of total</t>
  </si>
  <si>
    <t xml:space="preserve"> </t>
  </si>
  <si>
    <t xml:space="preserve">         TOTAL</t>
  </si>
  <si>
    <t>Permanent Sources</t>
  </si>
  <si>
    <t>Uses</t>
  </si>
  <si>
    <t xml:space="preserve">     Acquisition Cost</t>
  </si>
  <si>
    <t xml:space="preserve">     Construction Cost</t>
  </si>
  <si>
    <t xml:space="preserve">     Soft Cost</t>
  </si>
  <si>
    <t xml:space="preserve">     Developer's Fee</t>
  </si>
  <si>
    <t xml:space="preserve">          TOTAL USES</t>
  </si>
  <si>
    <t>DEVELOPMENT BUDGET</t>
  </si>
  <si>
    <t>Developer Costs</t>
  </si>
  <si>
    <t>Acquisition Cost</t>
  </si>
  <si>
    <t>Construction Cost</t>
  </si>
  <si>
    <t xml:space="preserve">Contractor Price </t>
  </si>
  <si>
    <t>Residential</t>
  </si>
  <si>
    <t>/du</t>
  </si>
  <si>
    <t>psf</t>
  </si>
  <si>
    <t xml:space="preserve">  </t>
  </si>
  <si>
    <t>Accessory Tenant Common Areas</t>
  </si>
  <si>
    <t>Commercial Space</t>
  </si>
  <si>
    <t>Community Space</t>
  </si>
  <si>
    <t>Parking</t>
  </si>
  <si>
    <t>Contingency</t>
  </si>
  <si>
    <t>Total Hard Cost</t>
  </si>
  <si>
    <t>average per sf</t>
  </si>
  <si>
    <t>Soft Cost</t>
  </si>
  <si>
    <t>Borrower's Legal</t>
  </si>
  <si>
    <t>Borrower's Engineer/Architect Fees</t>
  </si>
  <si>
    <t>Accounting &amp; Cost Certification</t>
  </si>
  <si>
    <t>Housing/Development Consultant</t>
  </si>
  <si>
    <t>Bank's Engineer</t>
  </si>
  <si>
    <t>Bank Legal</t>
  </si>
  <si>
    <t>Permits and expediting</t>
  </si>
  <si>
    <t>Environmental Phase I &amp; II</t>
  </si>
  <si>
    <t>CEQR</t>
  </si>
  <si>
    <t>Borings</t>
  </si>
  <si>
    <t>Survey</t>
  </si>
  <si>
    <t>Geotechnical</t>
  </si>
  <si>
    <t>Title Insurance</t>
  </si>
  <si>
    <t xml:space="preserve">Appraisal </t>
  </si>
  <si>
    <t>Other (Specify:_________________)</t>
  </si>
  <si>
    <t>Subtotal</t>
  </si>
  <si>
    <t>Financing Fees (Please maintain links to original calculations and note any changes)</t>
  </si>
  <si>
    <t>Upfront L/C Fee</t>
  </si>
  <si>
    <t>of LOC amt</t>
  </si>
  <si>
    <t>Annual L/C Fee</t>
  </si>
  <si>
    <t xml:space="preserve">of LOC amt </t>
  </si>
  <si>
    <t>HDC Fee (if applicable)</t>
  </si>
  <si>
    <t>of HDC cons 1st</t>
  </si>
  <si>
    <t>NY State Bond Issuance Charge</t>
  </si>
  <si>
    <t>Costs of Issuance</t>
  </si>
  <si>
    <t>HPD Fee (if applicable)</t>
  </si>
  <si>
    <t>Interest Rate Cap (estimate)</t>
  </si>
  <si>
    <t>Tax Exemption/Abatement Fees &amp; Consultant</t>
  </si>
  <si>
    <t>LIHTC Application Fee</t>
  </si>
  <si>
    <t>Non Profit Sponsor</t>
  </si>
  <si>
    <t xml:space="preserve">Carrying Costs </t>
  </si>
  <si>
    <t>Construction Interest (Paid)</t>
  </si>
  <si>
    <t>(change link if assuming variable rate)</t>
  </si>
  <si>
    <t>Construction Interest (Deferred)</t>
  </si>
  <si>
    <t>Negative Arbitrage</t>
  </si>
  <si>
    <t>Mortgage Recorting Tax</t>
  </si>
  <si>
    <t>Water/Sewer &amp; Real Estate Taxes</t>
  </si>
  <si>
    <t>Utilities</t>
  </si>
  <si>
    <t>Insurance</t>
  </si>
  <si>
    <t>Construction Monitor</t>
  </si>
  <si>
    <t>Marketing</t>
  </si>
  <si>
    <t>Security</t>
  </si>
  <si>
    <t>Reserves and Contingency</t>
  </si>
  <si>
    <t>Social Service Reserve</t>
  </si>
  <si>
    <t>Capitalized Operating Reserve</t>
  </si>
  <si>
    <t>/unit</t>
  </si>
  <si>
    <t>Additional Operating Reserve (if applicable)</t>
  </si>
  <si>
    <t>Soft Cost Contingency</t>
  </si>
  <si>
    <t>of soft costs</t>
  </si>
  <si>
    <t>Total Soft Costs</t>
  </si>
  <si>
    <t>Developer's Fee</t>
  </si>
  <si>
    <t>of TDC less Dev Fee</t>
  </si>
  <si>
    <t>Total Development Cost:</t>
  </si>
  <si>
    <t>Deferred Reserves</t>
  </si>
  <si>
    <t>Deferred Interest</t>
  </si>
  <si>
    <t>Gap/(Surplus)</t>
  </si>
  <si>
    <t>Total</t>
  </si>
  <si>
    <t>First Mortgage (Lender:                                )</t>
  </si>
  <si>
    <t>Second Mortgage (Lender:                                )</t>
  </si>
  <si>
    <t>Third Mortgage (Lender:                                )</t>
  </si>
  <si>
    <t>Fourth Mortgage (Lender:                                )</t>
  </si>
  <si>
    <t>LIHTC Equity</t>
  </si>
  <si>
    <t>Deferred Developer's Fee</t>
  </si>
  <si>
    <t>Developer Equity</t>
  </si>
  <si>
    <r>
      <t>Other source (Specify:</t>
    </r>
    <r>
      <rPr>
        <sz val="12"/>
        <color rgb="FF000000"/>
        <rFont val="Arial"/>
        <family val="2"/>
      </rPr>
      <t xml:space="preserve">                                </t>
    </r>
    <r>
      <rPr>
        <sz val="12"/>
        <color indexed="8"/>
        <rFont val="Arial"/>
        <family val="2"/>
      </rPr>
      <t>)</t>
    </r>
  </si>
  <si>
    <t>CONSTRUCTION INTEREST</t>
  </si>
  <si>
    <t>Bond Amount</t>
  </si>
  <si>
    <t>% of bond</t>
  </si>
  <si>
    <t>Long Term Amount</t>
  </si>
  <si>
    <t>Short Term Amount</t>
  </si>
  <si>
    <t>Total Bond Amount</t>
  </si>
  <si>
    <t>Term</t>
  </si>
  <si>
    <t>Months</t>
  </si>
  <si>
    <t>Years</t>
  </si>
  <si>
    <t>Construction term</t>
  </si>
  <si>
    <t xml:space="preserve">Rent-up &amp; conversion term </t>
  </si>
  <si>
    <t>Total term</t>
  </si>
  <si>
    <t xml:space="preserve">Fixed Rates </t>
  </si>
  <si>
    <t>Paid</t>
  </si>
  <si>
    <t>Deferred</t>
  </si>
  <si>
    <t>AFR</t>
  </si>
  <si>
    <t>1st - Long Term</t>
  </si>
  <si>
    <t>Servicing Fee</t>
  </si>
  <si>
    <t>1st - Short Term</t>
  </si>
  <si>
    <t>2nd Construction</t>
  </si>
  <si>
    <t>3rd Construction</t>
  </si>
  <si>
    <t>4th Construction</t>
  </si>
  <si>
    <t>Variable Rate</t>
  </si>
  <si>
    <t>SIFMA</t>
  </si>
  <si>
    <t>+___ bps cushion</t>
  </si>
  <si>
    <t>Interest Calculations</t>
  </si>
  <si>
    <t>Fixed Rate</t>
  </si>
  <si>
    <t>Amount</t>
  </si>
  <si>
    <t>% Outstanding</t>
  </si>
  <si>
    <t>Term (years)</t>
  </si>
  <si>
    <t>Interest Rate</t>
  </si>
  <si>
    <t>Paid Interest</t>
  </si>
  <si>
    <t>Deferred Rate</t>
  </si>
  <si>
    <t>Total Fixed Rate Cons. Interest</t>
  </si>
  <si>
    <t>Interest</t>
  </si>
  <si>
    <t xml:space="preserve"> HDC 1st</t>
  </si>
  <si>
    <t>HDC 2nd</t>
  </si>
  <si>
    <t>Total Variable Rate Cons. Interest</t>
  </si>
  <si>
    <t>NEGATIVE ARBITRAGE</t>
  </si>
  <si>
    <t>(for fixed-rate deals only)</t>
  </si>
  <si>
    <t>Investment Rate</t>
  </si>
  <si>
    <t xml:space="preserve">Short Term </t>
  </si>
  <si>
    <t xml:space="preserve">Long Term </t>
  </si>
  <si>
    <t>Rate</t>
  </si>
  <si>
    <t>Investment Spread</t>
  </si>
  <si>
    <t>Construction Term (years)</t>
  </si>
  <si>
    <t>LETTER OF CREDIT AMOUNT</t>
  </si>
  <si>
    <t>Days Interest</t>
  </si>
  <si>
    <t>LC Amount</t>
  </si>
  <si>
    <t>SF DISTRBUTION</t>
  </si>
  <si>
    <t>GSF</t>
  </si>
  <si>
    <t>Efficiency</t>
  </si>
  <si>
    <t>NSF</t>
  </si>
  <si>
    <t>Residential GSF</t>
  </si>
  <si>
    <t>Commercial GSF</t>
  </si>
  <si>
    <t>Community GSF</t>
  </si>
  <si>
    <t>Parking GSF</t>
  </si>
  <si>
    <t>Total Project GSF</t>
  </si>
  <si>
    <t>Total Project NSF</t>
  </si>
  <si>
    <t>UNIT DISTRBUTION</t>
  </si>
  <si>
    <t>Average Net SF</t>
  </si>
  <si>
    <t># of Units</t>
  </si>
  <si>
    <t># of Rms/ DU</t>
  </si>
  <si>
    <t># Rooms</t>
  </si>
  <si>
    <t>per Unit</t>
  </si>
  <si>
    <t>Studio</t>
  </si>
  <si>
    <t>1 Bedroom</t>
  </si>
  <si>
    <t>2 Bedroom</t>
  </si>
  <si>
    <t>3 Bedroom</t>
  </si>
  <si>
    <t>Super's Unit</t>
  </si>
  <si>
    <t>Net Residential Square Feet</t>
  </si>
  <si>
    <t>Average Net SF per DU</t>
  </si>
  <si>
    <t>COMMERICAL AND ANCILLARY INCOME</t>
  </si>
  <si>
    <t># of Spaces</t>
  </si>
  <si>
    <t>Monthly Rent</t>
  </si>
  <si>
    <t>Annual Income</t>
  </si>
  <si>
    <t>Parking (Monthly Parkers)</t>
  </si>
  <si>
    <t>Transient Parkers</t>
  </si>
  <si>
    <t>Total Parking</t>
  </si>
  <si>
    <t>Total s.f.</t>
  </si>
  <si>
    <t>Annual Rent/s.f.</t>
  </si>
  <si>
    <t>Commercial</t>
  </si>
  <si>
    <t>Community</t>
  </si>
  <si>
    <t># units</t>
  </si>
  <si>
    <t>Annual per unit</t>
  </si>
  <si>
    <t>Laundry</t>
  </si>
  <si>
    <t>Total Commercial &amp; Ancillary  Income</t>
  </si>
  <si>
    <t>RESIDENTIAL INCOME</t>
  </si>
  <si>
    <t>Affordability Summary</t>
  </si>
  <si>
    <t>Electricity (No Electric Stove) Allowance</t>
  </si>
  <si>
    <t>Electricity (WITH Electric Stove) Allowance</t>
  </si>
  <si>
    <t>Shelter Rent</t>
  </si>
  <si>
    <t>2025 HUD Income Limits</t>
  </si>
  <si>
    <t>Family of Four</t>
  </si>
  <si>
    <t>2 rooms</t>
  </si>
  <si>
    <t>studio</t>
  </si>
  <si>
    <t>No Utilities</t>
  </si>
  <si>
    <t>2 BR FMR</t>
  </si>
  <si>
    <t>3 rooms</t>
  </si>
  <si>
    <t>1 BR</t>
  </si>
  <si>
    <t>4 rooms</t>
  </si>
  <si>
    <t>2 BR</t>
  </si>
  <si>
    <t>Select Utility Allowance</t>
  </si>
  <si>
    <t>5 rooms</t>
  </si>
  <si>
    <t>3 BR</t>
  </si>
  <si>
    <t>Gas Allowance</t>
  </si>
  <si>
    <t>Electricity &amp; Gas Allowance</t>
  </si>
  <si>
    <r>
      <t>Note:</t>
    </r>
    <r>
      <rPr>
        <sz val="12"/>
        <rFont val="Arial"/>
        <family val="2"/>
      </rPr>
      <t xml:space="preserve"> For market rate units, please hard code rents</t>
    </r>
  </si>
  <si>
    <t>Our Space</t>
  </si>
  <si>
    <t>HUD IL</t>
  </si>
  <si>
    <t>Our Space With Shelter Rents</t>
  </si>
  <si>
    <t>Unit size</t>
  </si>
  <si>
    <t>HH size</t>
  </si>
  <si>
    <t>HH factor</t>
  </si>
  <si>
    <t>HH income</t>
  </si>
  <si>
    <t>max gross monthly rent</t>
  </si>
  <si>
    <t>utility allowance</t>
  </si>
  <si>
    <t>max net monthly rent</t>
  </si>
  <si>
    <t>Number of units</t>
  </si>
  <si>
    <t>Annual Rent</t>
  </si>
  <si>
    <t>rent less electricity</t>
  </si>
  <si>
    <t>Market Rate</t>
  </si>
  <si>
    <t>Total units</t>
  </si>
  <si>
    <t>Total Annual Rental Income upon occupancy</t>
  </si>
  <si>
    <t>TOTAL ANNUAL PROJECT INCOME</t>
  </si>
  <si>
    <t>MAINTENANCE &amp; OPERATING EXPENSES</t>
  </si>
  <si>
    <t>Units</t>
  </si>
  <si>
    <t>Rooms</t>
  </si>
  <si>
    <t>Expenses</t>
  </si>
  <si>
    <t>per rm/du</t>
  </si>
  <si>
    <t>2025 HDC Maintenance &amp; Operating Standards for New Construction</t>
  </si>
  <si>
    <t>ADMINISTRATIVE</t>
  </si>
  <si>
    <t xml:space="preserve">Legal </t>
  </si>
  <si>
    <t>per unit</t>
  </si>
  <si>
    <t>Accounting</t>
  </si>
  <si>
    <t>per project</t>
  </si>
  <si>
    <t>Management Fee</t>
  </si>
  <si>
    <t>of ERI</t>
  </si>
  <si>
    <t>6.5% (8% for SHLP)</t>
  </si>
  <si>
    <t xml:space="preserve">Fire and Liability Insurance </t>
  </si>
  <si>
    <t>Tax Credit Monitoring</t>
  </si>
  <si>
    <t>per unit/building</t>
  </si>
  <si>
    <t>See table at right</t>
  </si>
  <si>
    <r>
      <rPr>
        <b/>
        <sz val="10"/>
        <rFont val="Arial"/>
        <family val="2"/>
      </rPr>
      <t>4% with HDC</t>
    </r>
    <r>
      <rPr>
        <sz val="10"/>
        <rFont val="Arial"/>
        <family val="2"/>
      </rPr>
      <t>: Per Building: $100 + Unit Fee of 0.75% of Tax Credit Rents. Unit Fee portion capped at $12,500 if ≤150 units, or $17,500 if &gt;150 units</t>
    </r>
  </si>
  <si>
    <t>Benchmarking Expense</t>
  </si>
  <si>
    <t>per building</t>
  </si>
  <si>
    <r>
      <rPr>
        <b/>
        <sz val="10"/>
        <rFont val="Arial"/>
        <family val="2"/>
      </rPr>
      <t>HPD 9%</t>
    </r>
    <r>
      <rPr>
        <sz val="10"/>
        <rFont val="Arial"/>
        <family val="2"/>
      </rPr>
      <t>: $25 per Tax Credit Unit</t>
    </r>
  </si>
  <si>
    <t>UTILITIES</t>
  </si>
  <si>
    <t>Heating</t>
  </si>
  <si>
    <t>Per Room</t>
  </si>
  <si>
    <t>per room</t>
  </si>
  <si>
    <t>Electric VRF or PTHP</t>
  </si>
  <si>
    <t>Hot Water</t>
  </si>
  <si>
    <t>Passive House Electric VRF or PTHP</t>
  </si>
  <si>
    <t>Electric (common areas)</t>
  </si>
  <si>
    <t>Water &amp; Sewer</t>
  </si>
  <si>
    <t>Broadband</t>
  </si>
  <si>
    <t>Obtain quote</t>
  </si>
  <si>
    <t>Gas</t>
  </si>
  <si>
    <t>Electric Heat Pump</t>
  </si>
  <si>
    <t>MAINTENANCE</t>
  </si>
  <si>
    <t>Supplies/Cleaning/Exterminating</t>
  </si>
  <si>
    <t>Repairs/Replacement</t>
  </si>
  <si>
    <t>Per Unit</t>
  </si>
  <si>
    <t>Projects with Gas Hot Water</t>
  </si>
  <si>
    <t>Super &amp; Maintenance Salaries</t>
  </si>
  <si>
    <t>Projects with Heat Pump Hot Water</t>
  </si>
  <si>
    <t>Number of:</t>
  </si>
  <si>
    <t>F/T super(s)</t>
  </si>
  <si>
    <t>annual + fringe</t>
  </si>
  <si>
    <t>Super &amp; Maintenance (with multiplier)</t>
  </si>
  <si>
    <t>Prevailing Wage</t>
  </si>
  <si>
    <t>Non-Union</t>
  </si>
  <si>
    <t>porters</t>
  </si>
  <si>
    <t>*Required: 1 F/T staff per 65 units</t>
  </si>
  <si>
    <t>F/T Super</t>
  </si>
  <si>
    <t>F/T Porter</t>
  </si>
  <si>
    <t xml:space="preserve">Elevator Maintenance &amp; Repairs </t>
  </si>
  <si>
    <t>per elevator</t>
  </si>
  <si>
    <t xml:space="preserve">Building Reserve </t>
  </si>
  <si>
    <t>OTHER</t>
  </si>
  <si>
    <t>HDC Servicing Fee</t>
  </si>
  <si>
    <t>of senior perm loan</t>
  </si>
  <si>
    <t>of perm loan</t>
  </si>
  <si>
    <t>Other Expenses(Specify:_________)</t>
  </si>
  <si>
    <t>M &amp; O Before Taxes and Debt Service</t>
  </si>
  <si>
    <t>Real estate taxes</t>
  </si>
  <si>
    <t>TOTAL ANNUAL PROJECT EXPENSES</t>
  </si>
  <si>
    <t xml:space="preserve">per unit </t>
  </si>
  <si>
    <t>MORTGAGE SIZING</t>
  </si>
  <si>
    <t>Variable Interest Rates</t>
  </si>
  <si>
    <t>Fixed Interest Rates</t>
  </si>
  <si>
    <t>Income</t>
  </si>
  <si>
    <t>TAX EXEMPT</t>
  </si>
  <si>
    <t>Residential Income</t>
  </si>
  <si>
    <t>Base Rate</t>
  </si>
  <si>
    <t>Base Underwriting Rate</t>
  </si>
  <si>
    <t xml:space="preserve">Less Residential Vacancies </t>
  </si>
  <si>
    <t>Underwriting Cushion</t>
  </si>
  <si>
    <t>MIP</t>
  </si>
  <si>
    <t>Net Residential Income</t>
  </si>
  <si>
    <t>LC Fees</t>
  </si>
  <si>
    <t>Sum of above rates</t>
  </si>
  <si>
    <t>Trustee</t>
  </si>
  <si>
    <t>Parking Income</t>
  </si>
  <si>
    <t>Remarketing</t>
  </si>
  <si>
    <t xml:space="preserve">Commercial Income </t>
  </si>
  <si>
    <t>Servicing</t>
  </si>
  <si>
    <t>Community Space Income</t>
  </si>
  <si>
    <t xml:space="preserve">Ancillary/Laundry </t>
  </si>
  <si>
    <t>Less Parking Vacancies</t>
  </si>
  <si>
    <t xml:space="preserve">Less Commercial Vac </t>
  </si>
  <si>
    <t>Less Community Space Income</t>
  </si>
  <si>
    <t>Less Ancillary/Laundry Vac</t>
  </si>
  <si>
    <t>Net Comm &amp; Ancillary Income</t>
  </si>
  <si>
    <t>Total Supportable First Mortgage</t>
  </si>
  <si>
    <t>Enter 1st Mortgage Amount from Cell H30 here</t>
  </si>
  <si>
    <t>Net Income</t>
  </si>
  <si>
    <t>Second Mortgage</t>
  </si>
  <si>
    <t>Third Mortgage</t>
  </si>
  <si>
    <t>Fourth Mortgage</t>
  </si>
  <si>
    <t>Maintenance/Operating</t>
  </si>
  <si>
    <t>Total Combined Debt</t>
  </si>
  <si>
    <t xml:space="preserve">Real estate taxes </t>
  </si>
  <si>
    <t>Building Reserve</t>
  </si>
  <si>
    <t>1st Loan Reduction</t>
  </si>
  <si>
    <t>2nd Loan Constant</t>
  </si>
  <si>
    <t>3rd Loan Constant</t>
  </si>
  <si>
    <t>4th Loan Constant</t>
  </si>
  <si>
    <t>Total Expenses</t>
  </si>
  <si>
    <t>1st Loan</t>
  </si>
  <si>
    <t>2nd Loan</t>
  </si>
  <si>
    <t>3rd Loan</t>
  </si>
  <si>
    <t>4th Loan</t>
  </si>
  <si>
    <t>NET OPERATING INCOME</t>
  </si>
  <si>
    <t>Yrs 1 - 30</t>
  </si>
  <si>
    <t>Amt Amortized</t>
  </si>
  <si>
    <t>Net Available @1.05 Income to Expense</t>
  </si>
  <si>
    <t>Balance</t>
  </si>
  <si>
    <t>Combined DSCR</t>
  </si>
  <si>
    <t>Balloon %</t>
  </si>
  <si>
    <t xml:space="preserve">Net Available for Debt Service @ </t>
  </si>
  <si>
    <t>Debt Service</t>
  </si>
  <si>
    <t>Income to Expense</t>
  </si>
  <si>
    <t>Debt Coverage</t>
  </si>
  <si>
    <t>1st Mort DSCR</t>
  </si>
  <si>
    <t>Assumed Subsidies</t>
  </si>
  <si>
    <t>Source:</t>
  </si>
  <si>
    <t>EFFECTIVE INCOMES</t>
  </si>
  <si>
    <t>increases</t>
  </si>
  <si>
    <t>Commercial Income</t>
  </si>
  <si>
    <t>Ancillary Income</t>
  </si>
  <si>
    <t>Total Income</t>
  </si>
  <si>
    <t>EXPENSES</t>
  </si>
  <si>
    <t>M&amp;O Expenses</t>
  </si>
  <si>
    <t>NOI</t>
  </si>
  <si>
    <t>Net Cash Flow</t>
  </si>
  <si>
    <t>15-Year Net Cash Flow</t>
  </si>
  <si>
    <t>Deferred Developer Fee</t>
  </si>
  <si>
    <t>Total Deferred Developer Fee</t>
  </si>
  <si>
    <t>Net Cash Flow after Deferred Fee</t>
  </si>
  <si>
    <t>Operating Reserve Sweep</t>
  </si>
  <si>
    <t>Net Cash Flow after Sweep</t>
  </si>
  <si>
    <t>I:E</t>
  </si>
  <si>
    <t>DSCR</t>
  </si>
  <si>
    <t>TAX CREDIT ANAYLSIS*</t>
  </si>
  <si>
    <t>*This is an estimate; for actual raise and calculation, defer to LIHTC Investor</t>
  </si>
  <si>
    <t>Number of TC Units</t>
  </si>
  <si>
    <t>Eligible Cost (Y/N)</t>
  </si>
  <si>
    <t>Total Cost</t>
  </si>
  <si>
    <t>Eligible Amount</t>
  </si>
  <si>
    <t>% TC Units</t>
  </si>
  <si>
    <t>N</t>
  </si>
  <si>
    <t>% Non Residential Costs</t>
  </si>
  <si>
    <t>Aplicable Fraction</t>
  </si>
  <si>
    <t>Construction Bonds</t>
  </si>
  <si>
    <t>Y</t>
  </si>
  <si>
    <t>Eligible Basis</t>
  </si>
  <si>
    <t>Eligible Basis per TC Unit</t>
  </si>
  <si>
    <t>Eligible Basis with Boost</t>
  </si>
  <si>
    <t>Annual Credit @</t>
  </si>
  <si>
    <t>Amount Raised per Credit @</t>
  </si>
  <si>
    <t>Investor Ownership Percentage</t>
  </si>
  <si>
    <t>Amount Raised Total</t>
  </si>
  <si>
    <t>TRADE ITEM</t>
  </si>
  <si>
    <t>$ AMOUNT</t>
  </si>
  <si>
    <t>General Requirements</t>
  </si>
  <si>
    <t>2a</t>
  </si>
  <si>
    <t>Demolition</t>
  </si>
  <si>
    <t>2b</t>
  </si>
  <si>
    <t>Environmental Remediation</t>
  </si>
  <si>
    <t>Concrete</t>
  </si>
  <si>
    <t>4a</t>
  </si>
  <si>
    <t>Masonry, pointing, waterproofing, steam cleaning</t>
  </si>
  <si>
    <t>Metals, structural steel</t>
  </si>
  <si>
    <t>6a</t>
  </si>
  <si>
    <t>Carpentry, rough</t>
  </si>
  <si>
    <t>6b</t>
  </si>
  <si>
    <t>Carpentry, finished</t>
  </si>
  <si>
    <t>7a</t>
  </si>
  <si>
    <t>Roofing</t>
  </si>
  <si>
    <t>7b</t>
  </si>
  <si>
    <t>Insulation</t>
  </si>
  <si>
    <t>8a</t>
  </si>
  <si>
    <t>Doors, frames, hardware</t>
  </si>
  <si>
    <t>8b</t>
  </si>
  <si>
    <t>Windows and glazing</t>
  </si>
  <si>
    <t>8c</t>
  </si>
  <si>
    <t>Entrance doors</t>
  </si>
  <si>
    <t>9a</t>
  </si>
  <si>
    <t>Drywall and plastering</t>
  </si>
  <si>
    <t>9b</t>
  </si>
  <si>
    <t>Ceramic tile</t>
  </si>
  <si>
    <t>9c</t>
  </si>
  <si>
    <t>Finish flooring</t>
  </si>
  <si>
    <t>9d</t>
  </si>
  <si>
    <t>Painting</t>
  </si>
  <si>
    <t>12a</t>
  </si>
  <si>
    <t>Kitchen cabinets</t>
  </si>
  <si>
    <t>12b</t>
  </si>
  <si>
    <t>Appliances</t>
  </si>
  <si>
    <t>15a</t>
  </si>
  <si>
    <t>Heating and ventilation</t>
  </si>
  <si>
    <t>15b</t>
  </si>
  <si>
    <t>Plumbing</t>
  </si>
  <si>
    <t>Electrical</t>
  </si>
  <si>
    <t>Landscaping / Site Work</t>
  </si>
  <si>
    <t>Other:__________________</t>
  </si>
  <si>
    <t xml:space="preserve">SUBTOTAL </t>
  </si>
  <si>
    <t>General Conditions</t>
  </si>
  <si>
    <t>Overhead</t>
  </si>
  <si>
    <t>Profit</t>
  </si>
  <si>
    <t xml:space="preserve">GRAND TOTAL </t>
  </si>
  <si>
    <r>
      <t xml:space="preserve">Please provide the information below for the </t>
    </r>
    <r>
      <rPr>
        <b/>
        <u/>
        <sz val="10"/>
        <rFont val="Arial"/>
        <family val="2"/>
      </rPr>
      <t>entire project,</t>
    </r>
    <r>
      <rPr>
        <b/>
        <sz val="10"/>
        <rFont val="Arial"/>
        <family val="2"/>
      </rPr>
      <t xml:space="preserve"> including all separately financed rental and homeownership components.</t>
    </r>
  </si>
  <si>
    <t xml:space="preserve">***Please do not alter worksheet placement/order of cells </t>
  </si>
  <si>
    <t>Component 1</t>
  </si>
  <si>
    <t>Component 2</t>
  </si>
  <si>
    <t>Component 3</t>
  </si>
  <si>
    <t>All</t>
  </si>
  <si>
    <t>Pro Forma Assumptions</t>
  </si>
  <si>
    <t>(Specify)</t>
  </si>
  <si>
    <t>Components</t>
  </si>
  <si>
    <t>Source Additional Info</t>
  </si>
  <si>
    <t>Total Conventional Debt</t>
  </si>
  <si>
    <t>Total Volume Cap Bonds</t>
  </si>
  <si>
    <t>Total Recycled Bonds</t>
  </si>
  <si>
    <t>Total Taxable Bonds</t>
  </si>
  <si>
    <t>% of Developer Fee Deferred during Construction</t>
  </si>
  <si>
    <t>Total HPD Subsidy Per Unit</t>
  </si>
  <si>
    <t>Total HDC Subsidy Per Unit</t>
  </si>
  <si>
    <t>Total Other Source Subsidy Per Unit</t>
  </si>
  <si>
    <t>Costs</t>
  </si>
  <si>
    <t>Total Residential Hard Costs PSF</t>
  </si>
  <si>
    <t>Total Commercial Hard Costs PSF</t>
  </si>
  <si>
    <t>Total Community Hard Costs PSF</t>
  </si>
  <si>
    <t>Total Parking Hard Costs PSF</t>
  </si>
  <si>
    <t>Total Other Hard Costs PSF</t>
  </si>
  <si>
    <t>Total Hard Costs w/Contingency PSF</t>
  </si>
  <si>
    <t>LOC Upfront Fee % (if any)</t>
  </si>
  <si>
    <t>LOC Ongoing Fee % (if any)</t>
  </si>
  <si>
    <t>Soft Costs as a % of TDC</t>
  </si>
  <si>
    <t>Developer Fee as a % of TDC</t>
  </si>
  <si>
    <t>Units &amp; Income</t>
  </si>
  <si>
    <t>% of Units with 2 or more bedrooms</t>
  </si>
  <si>
    <t>% of Units with rents set at or below 30% AMI</t>
  </si>
  <si>
    <t>% of Units with rents set at 31-40% AMI</t>
  </si>
  <si>
    <t>% of Units with rents set at 41-50% AMI</t>
  </si>
  <si>
    <t>% of Units with rents set at 51-60% AMI</t>
  </si>
  <si>
    <t>% of Units with rents set at 61-70% AMI</t>
  </si>
  <si>
    <t>% of Units with rents set at 71-80% AMI</t>
  </si>
  <si>
    <t>% of Units with rents set at 81-90% AMI</t>
  </si>
  <si>
    <t>% of Units with rents set at 91% of AMI or above</t>
  </si>
  <si>
    <t xml:space="preserve">% of Units with homeless set-aside </t>
  </si>
  <si>
    <t>% of affordable Units</t>
  </si>
  <si>
    <t xml:space="preserve">% of Units with market rents </t>
  </si>
  <si>
    <t>Total Rental Units (non inc. Super Units)</t>
  </si>
  <si>
    <t># of Super Units</t>
  </si>
  <si>
    <t>Non-Residential Income as % of Total</t>
  </si>
  <si>
    <t>Commercial Income PSF</t>
  </si>
  <si>
    <t>Parking Income Per Legal Space</t>
  </si>
  <si>
    <t>Community Income PSF</t>
  </si>
  <si>
    <t>Operating Assumptions</t>
  </si>
  <si>
    <t>Total M&amp;O Per Unit</t>
  </si>
  <si>
    <t>Total Taxes Per Unit</t>
  </si>
  <si>
    <t xml:space="preserve">Tax Abatement Type </t>
  </si>
  <si>
    <t>Cash Flow Income Inflator %</t>
  </si>
  <si>
    <t>Cash Flow Expense Inflator %</t>
  </si>
  <si>
    <t>Other Assumptions</t>
  </si>
  <si>
    <t>Total Construction Period (months)</t>
  </si>
  <si>
    <t>LIHTC Raise (e.g.- $0.00)</t>
  </si>
  <si>
    <t>Assumed LIHTC Rate</t>
  </si>
  <si>
    <t>Total Permanent Period (years)</t>
  </si>
  <si>
    <t>Senior Loan Construction Interest Rate %</t>
  </si>
  <si>
    <t>Senior Loan Permanent All-in Interest Rate %</t>
  </si>
  <si>
    <t>Assumed Construction Enhancement Type (text)</t>
  </si>
  <si>
    <t>Assumed Permanent Enhancement Type (text)</t>
  </si>
  <si>
    <t>Please feel free to list any other critical assumptions not included below:</t>
  </si>
  <si>
    <t>These calculations must match the architectural plans included in the proposal.</t>
  </si>
  <si>
    <t xml:space="preserve">TOTAL BUILT FLOOR AREA (Gross Square Feet): </t>
  </si>
  <si>
    <t>Total building stories</t>
  </si>
  <si>
    <t>Total Parking Spaces</t>
  </si>
  <si>
    <t>Parking Type (i.e.- surface, covered, garage)</t>
  </si>
  <si>
    <t>1. Residential Space</t>
  </si>
  <si>
    <t>2. Unfinished Basement</t>
  </si>
  <si>
    <t>3. Cellar</t>
  </si>
  <si>
    <t>4. Attics</t>
  </si>
  <si>
    <t>5. Mechanical / Utility Areas</t>
  </si>
  <si>
    <t>6. Garages</t>
  </si>
  <si>
    <t>7. Commercial Space</t>
  </si>
  <si>
    <t>8. Community Space</t>
  </si>
  <si>
    <t>9. Parking</t>
  </si>
  <si>
    <t>10. Other ___________________</t>
  </si>
  <si>
    <t>11. Subtotal Gross Square Feet</t>
  </si>
  <si>
    <t>MIMI Proposal Cost Benefit Analysis</t>
  </si>
  <si>
    <t xml:space="preserve">Fill in or link the blue cells below. </t>
  </si>
  <si>
    <t>* Note: Acquisition Cost, hard cost and soft cost must be allocated proportionally across condos based on GSF. Projects that allocate disproportionate costs to the affordable condo will not pass threshold review.</t>
  </si>
  <si>
    <t>Project Component</t>
  </si>
  <si>
    <t xml:space="preserve">Market Rate </t>
  </si>
  <si>
    <t xml:space="preserve">Affordable </t>
  </si>
  <si>
    <t xml:space="preserve">Community Facility </t>
  </si>
  <si>
    <t xml:space="preserve">Parking </t>
  </si>
  <si>
    <t># of units</t>
  </si>
  <si>
    <t>Gross Square Footage (GSF)</t>
  </si>
  <si>
    <t>Gross Income (GI)</t>
  </si>
  <si>
    <t>Expected Gross Income (EGI)</t>
  </si>
  <si>
    <t xml:space="preserve"> M&amp;O</t>
  </si>
  <si>
    <t>Net Operating Income (NOI)</t>
  </si>
  <si>
    <t>Available Debt Service</t>
  </si>
  <si>
    <t>Mortgate Interest Rate</t>
  </si>
  <si>
    <t>Mortgage Term</t>
  </si>
  <si>
    <t>Debt sizing</t>
  </si>
  <si>
    <t>Equity/use</t>
  </si>
  <si>
    <t>Total Sources</t>
  </si>
  <si>
    <t xml:space="preserve"> Acquisition cost*</t>
  </si>
  <si>
    <t xml:space="preserve"> Hard Cost*</t>
  </si>
  <si>
    <t>Soft Cost*</t>
  </si>
  <si>
    <t>Paid Developer Fee</t>
  </si>
  <si>
    <t>Total Dev Cost</t>
  </si>
  <si>
    <t>Benefit / (Cost)</t>
  </si>
  <si>
    <t>Total Cross Subsidization</t>
  </si>
  <si>
    <t>Total Cross subsidization
 per affordable DU</t>
  </si>
  <si>
    <t>2025 Area Median Income</t>
  </si>
  <si>
    <t>Electric with Electric Stove</t>
  </si>
  <si>
    <t>Electricity Allowance</t>
  </si>
  <si>
    <t>Total (Electric plus Gas)</t>
  </si>
  <si>
    <t>for a family of four</t>
  </si>
  <si>
    <t>Rent Burden</t>
  </si>
  <si>
    <t>4 BR</t>
  </si>
  <si>
    <t>5 BR</t>
  </si>
  <si>
    <t>As of:</t>
  </si>
  <si>
    <t>per NYCHA (all Unit Types)</t>
  </si>
  <si>
    <t>PROJECT TYPE (select below)</t>
  </si>
  <si>
    <t>New Construction/Special Needs</t>
  </si>
  <si>
    <t>***0.6 HH Factor for New Construction/Special Needs only applies to projects that comply with HPD’s new Design Guidelines***</t>
  </si>
  <si>
    <t>of AMI</t>
  </si>
  <si>
    <t>Tenant Pays</t>
  </si>
  <si>
    <t>Electric (No Electric Stove)</t>
  </si>
  <si>
    <t>Gas Only</t>
  </si>
  <si>
    <t>Gas &amp; Electricity</t>
  </si>
  <si>
    <t>HH Size</t>
  </si>
  <si>
    <t>HH Factor</t>
  </si>
  <si>
    <t>Limit</t>
  </si>
  <si>
    <t>Also posted at: https://www.nyc.gov/site/hpd/services-and-information/underwriting-electric-high-performance-buildings.page</t>
  </si>
  <si>
    <t>PROJECT NAME</t>
  </si>
  <si>
    <t>TOTAL DEVELOPMENT COST</t>
  </si>
  <si>
    <t>Acquisition</t>
  </si>
  <si>
    <t>Hard Costs</t>
  </si>
  <si>
    <t>Soft Costs</t>
  </si>
  <si>
    <t>Developers Fee</t>
  </si>
  <si>
    <t>Construction Sources of Financing</t>
  </si>
  <si>
    <t>Equity</t>
  </si>
  <si>
    <t>Lender / Source</t>
  </si>
  <si>
    <t xml:space="preserve">   Cash Equity</t>
  </si>
  <si>
    <t xml:space="preserve">   Other  Source</t>
  </si>
  <si>
    <t>Total Equity</t>
  </si>
  <si>
    <t>Loans / Grants</t>
  </si>
  <si>
    <t xml:space="preserve">   Bank Construction Loan</t>
  </si>
  <si>
    <t xml:space="preserve">   Other Loan / Grant</t>
  </si>
  <si>
    <t>Total Loans / Grants</t>
  </si>
  <si>
    <t>Total Construction Sources</t>
  </si>
  <si>
    <t>Permanent Sources of Financing</t>
  </si>
  <si>
    <t>Sales Proceeds</t>
  </si>
  <si>
    <r>
      <t xml:space="preserve">   Bank 1</t>
    </r>
    <r>
      <rPr>
        <vertAlign val="superscript"/>
        <sz val="10"/>
        <rFont val="Arial"/>
        <family val="2"/>
      </rPr>
      <t>st</t>
    </r>
    <r>
      <rPr>
        <sz val="10"/>
        <rFont val="Arial"/>
        <family val="2"/>
      </rPr>
      <t xml:space="preserve"> Mortgage</t>
    </r>
  </si>
  <si>
    <r>
      <t xml:space="preserve">   2</t>
    </r>
    <r>
      <rPr>
        <vertAlign val="superscript"/>
        <sz val="10"/>
        <rFont val="Arial"/>
        <family val="2"/>
      </rPr>
      <t>nd</t>
    </r>
    <r>
      <rPr>
        <sz val="10"/>
        <rFont val="Arial"/>
        <family val="2"/>
      </rPr>
      <t xml:space="preserve"> Mortgage</t>
    </r>
  </si>
  <si>
    <t>Total Permanent Sources</t>
  </si>
  <si>
    <t>Total Residential Units</t>
  </si>
  <si>
    <t>Gross Square Footage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</si>
</sst>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quot;$&quot;#,##0_);\(&quot;$&quot;#,##0\)"/>
    <numFmt numFmtId="6" formatCode="&quot;$&quot;#,##0_);[Red]\(&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0_)"/>
    <numFmt numFmtId="165" formatCode="mm/dd/yy_)"/>
    <numFmt numFmtId="166" formatCode="dd\-mmm\-yy_)"/>
    <numFmt numFmtId="167" formatCode="0.000000%"/>
    <numFmt numFmtId="168" formatCode="0.0%"/>
    <numFmt numFmtId="169" formatCode="_(&quot;$&quot;* #,##0_);_(&quot;$&quot;* \(#,##0\);_(&quot;$&quot;* &quot;-&quot;??_);_(@_)"/>
    <numFmt numFmtId="170" formatCode="&quot;$&quot;#,##0"/>
    <numFmt numFmtId="171" formatCode="0.0"/>
    <numFmt numFmtId="172" formatCode="0.000%"/>
    <numFmt numFmtId="173" formatCode="_(* #,##0_);_(* \(#,##0\);_(* &quot;-&quot;??_);_(@_)"/>
    <numFmt numFmtId="174" formatCode="#,##0.000_);\(#,##0.000\)"/>
    <numFmt numFmtId="175" formatCode="&quot;$&quot;#,##0.00"/>
    <numFmt numFmtId="176" formatCode="&quot;Income Limits &amp; Rents at &quot;0%\ &quot;AMI&quot;"/>
    <numFmt numFmtId="177" formatCode="&quot;Income Limits &amp; Rents at &quot;0%\ &quot;of AMI&quot;"/>
    <numFmt numFmtId="178" formatCode="0%\ &quot;of AMI&quot;"/>
    <numFmt numFmtId="179" formatCode="&quot;Year&quot;\ #"/>
    <numFmt numFmtId="180" formatCode="##&quot; Years&quot;"/>
  </numFmts>
  <fonts count="62">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2"/>
      <color indexed="8"/>
      <name val="Arial"/>
      <family val="2"/>
    </font>
    <font>
      <sz val="12"/>
      <color indexed="8"/>
      <name val="Arial"/>
      <family val="2"/>
    </font>
    <font>
      <b/>
      <sz val="18"/>
      <color indexed="8"/>
      <name val="Arial"/>
      <family val="2"/>
    </font>
    <font>
      <b/>
      <u/>
      <sz val="12"/>
      <color indexed="8"/>
      <name val="Arial"/>
      <family val="2"/>
    </font>
    <font>
      <b/>
      <u/>
      <sz val="18"/>
      <color indexed="8"/>
      <name val="Arial"/>
      <family val="2"/>
    </font>
    <font>
      <sz val="10"/>
      <color indexed="8"/>
      <name val="Arial"/>
      <family val="2"/>
    </font>
    <font>
      <sz val="10"/>
      <color indexed="12"/>
      <name val="Arial"/>
      <family val="2"/>
    </font>
    <font>
      <b/>
      <sz val="12"/>
      <color indexed="8"/>
      <name val="SWISS"/>
      <family val="2"/>
    </font>
    <font>
      <sz val="12"/>
      <color indexed="8"/>
      <name val="SWISS"/>
      <family val="2"/>
    </font>
    <font>
      <sz val="10"/>
      <color indexed="8"/>
      <name val="SWISS"/>
      <family val="2"/>
    </font>
    <font>
      <b/>
      <sz val="12"/>
      <name val="Arial"/>
      <family val="2"/>
    </font>
    <font>
      <sz val="10"/>
      <name val="Arial MT"/>
    </font>
    <font>
      <sz val="12"/>
      <name val="Arial"/>
      <family val="2"/>
    </font>
    <font>
      <u/>
      <sz val="12"/>
      <color indexed="8"/>
      <name val="Arial"/>
      <family val="2"/>
    </font>
    <font>
      <sz val="9"/>
      <color indexed="8"/>
      <name val="Arial"/>
      <family val="2"/>
    </font>
    <font>
      <b/>
      <sz val="10"/>
      <color indexed="8"/>
      <name val="Arial"/>
      <family val="2"/>
    </font>
    <font>
      <sz val="12"/>
      <name val="Arial"/>
      <family val="2"/>
    </font>
    <font>
      <sz val="10"/>
      <name val="Arial"/>
      <family val="2"/>
    </font>
    <font>
      <b/>
      <sz val="12"/>
      <color indexed="10"/>
      <name val="Arial"/>
      <family val="2"/>
    </font>
    <font>
      <u/>
      <sz val="12"/>
      <name val="Arial"/>
      <family val="2"/>
    </font>
    <font>
      <i/>
      <sz val="12"/>
      <color indexed="8"/>
      <name val="Arial"/>
      <family val="2"/>
    </font>
    <font>
      <u val="singleAccounting"/>
      <sz val="12"/>
      <color indexed="8"/>
      <name val="Arial"/>
      <family val="2"/>
    </font>
    <font>
      <sz val="8"/>
      <name val="Arial"/>
      <family val="2"/>
    </font>
    <font>
      <b/>
      <i/>
      <u/>
      <sz val="12"/>
      <color indexed="8"/>
      <name val="Arial"/>
      <family val="2"/>
    </font>
    <font>
      <b/>
      <i/>
      <sz val="12"/>
      <color indexed="8"/>
      <name val="Arial"/>
      <family val="2"/>
    </font>
    <font>
      <b/>
      <i/>
      <sz val="12"/>
      <name val="Arial"/>
      <family val="2"/>
    </font>
    <font>
      <sz val="8"/>
      <name val="Arial"/>
      <family val="2"/>
    </font>
    <font>
      <i/>
      <sz val="12"/>
      <name val="Arial"/>
      <family val="2"/>
    </font>
    <font>
      <b/>
      <sz val="11"/>
      <color indexed="9"/>
      <name val="Arial"/>
      <family val="2"/>
    </font>
    <font>
      <b/>
      <sz val="10"/>
      <name val="Arial"/>
      <family val="2"/>
    </font>
    <font>
      <b/>
      <u/>
      <sz val="10"/>
      <name val="Arial"/>
      <family val="2"/>
    </font>
    <font>
      <vertAlign val="superscript"/>
      <sz val="10"/>
      <name val="Arial"/>
      <family val="2"/>
    </font>
    <font>
      <b/>
      <sz val="11"/>
      <name val="Arial"/>
      <family val="2"/>
    </font>
    <font>
      <b/>
      <u/>
      <sz val="12"/>
      <name val="Arial"/>
      <family val="2"/>
    </font>
    <font>
      <sz val="12"/>
      <color indexed="10"/>
      <name val="Arial"/>
      <family val="2"/>
    </font>
    <font>
      <sz val="8"/>
      <color indexed="81"/>
      <name val="Tahoma"/>
      <family val="2"/>
    </font>
    <font>
      <b/>
      <sz val="8"/>
      <color indexed="81"/>
      <name val="Tahoma"/>
      <family val="2"/>
    </font>
    <font>
      <sz val="10"/>
      <color indexed="18"/>
      <name val="Arial"/>
      <family val="2"/>
    </font>
    <font>
      <sz val="11"/>
      <name val="Arial"/>
      <family val="2"/>
    </font>
    <font>
      <b/>
      <sz val="11"/>
      <color indexed="81"/>
      <name val="Tahoma"/>
      <family val="2"/>
    </font>
    <font>
      <sz val="11"/>
      <color indexed="81"/>
      <name val="Tahoma"/>
      <family val="2"/>
    </font>
    <font>
      <sz val="12"/>
      <color theme="0"/>
      <name val="Arial"/>
      <family val="2"/>
    </font>
    <font>
      <sz val="12"/>
      <color theme="1"/>
      <name val="Arial"/>
      <family val="2"/>
    </font>
    <font>
      <b/>
      <sz val="12"/>
      <color theme="3"/>
      <name val="Arial"/>
      <family val="2"/>
    </font>
    <font>
      <b/>
      <sz val="12"/>
      <color theme="1"/>
      <name val="Arial"/>
      <family val="2"/>
    </font>
    <font>
      <i/>
      <u/>
      <sz val="12"/>
      <color indexed="8"/>
      <name val="Arial"/>
      <family val="2"/>
    </font>
    <font>
      <sz val="12"/>
      <name val="Calibri"/>
      <family val="2"/>
    </font>
    <font>
      <sz val="9"/>
      <color indexed="81"/>
      <name val="Tahoma"/>
      <family val="2"/>
    </font>
    <font>
      <b/>
      <sz val="9"/>
      <color indexed="81"/>
      <name val="Tahoma"/>
      <family val="2"/>
    </font>
    <font>
      <u/>
      <sz val="11"/>
      <color theme="10"/>
      <name val="Calibri"/>
      <family val="2"/>
      <scheme val="minor"/>
    </font>
    <font>
      <sz val="12"/>
      <color rgb="FF000000"/>
      <name val="Arial"/>
      <family val="2"/>
    </font>
    <font>
      <sz val="12"/>
      <color theme="1"/>
      <name val="Calibri"/>
      <family val="2"/>
      <scheme val="minor"/>
    </font>
    <font>
      <b/>
      <sz val="14"/>
      <name val="Arial"/>
      <family val="2"/>
    </font>
    <font>
      <sz val="14"/>
      <name val="Arial"/>
      <family val="2"/>
    </font>
    <font>
      <sz val="11"/>
      <name val="Calibri"/>
      <family val="2"/>
      <scheme val="minor"/>
    </font>
  </fonts>
  <fills count="1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2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rgb="FFCCFFFF"/>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94">
    <border>
      <left/>
      <right/>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64"/>
      </bottom>
      <diagonal/>
    </border>
    <border>
      <left/>
      <right/>
      <top style="thin">
        <color indexed="8"/>
      </top>
      <bottom/>
      <diagonal/>
    </border>
    <border>
      <left style="thin">
        <color indexed="8"/>
      </left>
      <right/>
      <top style="thin">
        <color indexed="8"/>
      </top>
      <bottom/>
      <diagonal/>
    </border>
    <border>
      <left/>
      <right/>
      <top/>
      <bottom style="thin">
        <color indexed="8"/>
      </bottom>
      <diagonal/>
    </border>
    <border>
      <left/>
      <right/>
      <top/>
      <bottom style="double">
        <color indexed="8"/>
      </bottom>
      <diagonal/>
    </border>
    <border>
      <left/>
      <right style="thin">
        <color indexed="8"/>
      </right>
      <top style="double">
        <color indexed="8"/>
      </top>
      <bottom/>
      <diagonal/>
    </border>
    <border>
      <left style="thin">
        <color indexed="8"/>
      </left>
      <right/>
      <top style="double">
        <color indexed="8"/>
      </top>
      <bottom/>
      <diagonal/>
    </border>
    <border>
      <left/>
      <right/>
      <top style="thin">
        <color indexed="8"/>
      </top>
      <bottom style="double">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style="double">
        <color indexed="8"/>
      </top>
      <bottom/>
      <diagonal/>
    </border>
    <border>
      <left style="thin">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bottom style="thin">
        <color indexed="64"/>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thin">
        <color theme="1"/>
      </left>
      <right style="thin">
        <color indexed="8"/>
      </right>
      <top/>
      <bottom/>
      <diagonal/>
    </border>
    <border>
      <left style="thin">
        <color theme="1"/>
      </left>
      <right/>
      <top style="double">
        <color theme="1"/>
      </top>
      <bottom/>
      <diagonal/>
    </border>
    <border>
      <left/>
      <right/>
      <top style="double">
        <color theme="1"/>
      </top>
      <bottom/>
      <diagonal/>
    </border>
    <border>
      <left/>
      <right style="thin">
        <color theme="1"/>
      </right>
      <top style="double">
        <color theme="1"/>
      </top>
      <bottom/>
      <diagonal/>
    </border>
    <border>
      <left style="thin">
        <color theme="1"/>
      </left>
      <right/>
      <top/>
      <bottom/>
      <diagonal/>
    </border>
    <border>
      <left style="thin">
        <color theme="1"/>
      </left>
      <right/>
      <top/>
      <bottom style="thin">
        <color theme="1"/>
      </bottom>
      <diagonal/>
    </border>
    <border>
      <left style="thin">
        <color theme="1"/>
      </left>
      <right style="dashed">
        <color theme="0" tint="-0.499984740745262"/>
      </right>
      <top style="hair">
        <color theme="1"/>
      </top>
      <bottom style="dashed">
        <color theme="0" tint="-0.499984740745262"/>
      </bottom>
      <diagonal/>
    </border>
    <border>
      <left style="thin">
        <color theme="1"/>
      </left>
      <right style="dashed">
        <color theme="0" tint="-0.499984740745262"/>
      </right>
      <top style="dashed">
        <color theme="0" tint="-0.499984740745262"/>
      </top>
      <bottom style="dashed">
        <color theme="0" tint="-0.499984740745262"/>
      </bottom>
      <diagonal/>
    </border>
    <border>
      <left style="thin">
        <color theme="1"/>
      </left>
      <right style="dashed">
        <color theme="0" tint="-0.499984740745262"/>
      </right>
      <top style="dashed">
        <color theme="0" tint="-0.499984740745262"/>
      </top>
      <bottom style="hair">
        <color theme="1"/>
      </bottom>
      <diagonal/>
    </border>
    <border>
      <left style="dashed">
        <color theme="0" tint="-0.499984740745262"/>
      </left>
      <right style="dashed">
        <color theme="0" tint="-0.499984740745262"/>
      </right>
      <top style="hair">
        <color theme="1"/>
      </top>
      <bottom style="dashed">
        <color theme="0" tint="-0.499984740745262"/>
      </bottom>
      <diagonal/>
    </border>
    <border>
      <left style="dashed">
        <color theme="0" tint="-0.499984740745262"/>
      </left>
      <right style="thin">
        <color theme="1"/>
      </right>
      <top style="hair">
        <color theme="1"/>
      </top>
      <bottom style="dashed">
        <color theme="0" tint="-0.499984740745262"/>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style="dashed">
        <color theme="0" tint="-0.499984740745262"/>
      </left>
      <right style="thin">
        <color theme="1"/>
      </right>
      <top style="dashed">
        <color theme="0" tint="-0.499984740745262"/>
      </top>
      <bottom style="dashed">
        <color theme="0" tint="-0.499984740745262"/>
      </bottom>
      <diagonal/>
    </border>
    <border>
      <left style="dashed">
        <color theme="0" tint="-0.499984740745262"/>
      </left>
      <right style="dashed">
        <color theme="0" tint="-0.499984740745262"/>
      </right>
      <top style="dashed">
        <color theme="0" tint="-0.499984740745262"/>
      </top>
      <bottom style="hair">
        <color theme="1"/>
      </bottom>
      <diagonal/>
    </border>
    <border>
      <left style="dashed">
        <color theme="0" tint="-0.499984740745262"/>
      </left>
      <right style="thin">
        <color theme="1"/>
      </right>
      <top style="dashed">
        <color theme="0" tint="-0.499984740745262"/>
      </top>
      <bottom style="hair">
        <color theme="1"/>
      </bottom>
      <diagonal/>
    </border>
    <border>
      <left/>
      <right style="thin">
        <color theme="1"/>
      </right>
      <top/>
      <bottom/>
      <diagonal/>
    </border>
    <border>
      <left/>
      <right/>
      <top/>
      <bottom style="thin">
        <color theme="1"/>
      </bottom>
      <diagonal/>
    </border>
    <border>
      <left/>
      <right style="thin">
        <color theme="1"/>
      </right>
      <top/>
      <bottom style="thin">
        <color theme="1"/>
      </bottom>
      <diagonal/>
    </border>
    <border>
      <left style="thin">
        <color indexed="8"/>
      </left>
      <right style="thin">
        <color theme="1"/>
      </right>
      <top style="thin">
        <color indexed="8"/>
      </top>
      <bottom style="thin">
        <color indexed="8"/>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indexed="8"/>
      </right>
      <top style="thin">
        <color theme="1"/>
      </top>
      <bottom/>
      <diagonal/>
    </border>
    <border>
      <left/>
      <right/>
      <top style="thin">
        <color theme="1"/>
      </top>
      <bottom/>
      <diagonal/>
    </border>
    <border>
      <left/>
      <right style="thin">
        <color indexed="8"/>
      </right>
      <top style="thin">
        <color theme="1"/>
      </top>
      <bottom/>
      <diagonal/>
    </border>
    <border>
      <left style="thin">
        <color indexed="8"/>
      </left>
      <right style="thin">
        <color indexed="8"/>
      </right>
      <top style="thin">
        <color theme="1"/>
      </top>
      <bottom/>
      <diagonal/>
    </border>
    <border>
      <left style="thin">
        <color indexed="8"/>
      </left>
      <right/>
      <top style="thin">
        <color theme="1"/>
      </top>
      <bottom/>
      <diagonal/>
    </border>
    <border>
      <left/>
      <right style="thin">
        <color theme="1"/>
      </right>
      <top style="thin">
        <color theme="1"/>
      </top>
      <bottom/>
      <diagonal/>
    </border>
    <border>
      <left style="thin">
        <color theme="1"/>
      </left>
      <right style="thin">
        <color indexed="8"/>
      </right>
      <top/>
      <bottom style="thin">
        <color theme="1"/>
      </bottom>
      <diagonal/>
    </border>
    <border>
      <left style="thin">
        <color indexed="8"/>
      </left>
      <right/>
      <top/>
      <bottom style="thin">
        <color theme="1"/>
      </bottom>
      <diagonal/>
    </border>
    <border>
      <left/>
      <right style="thin">
        <color indexed="8"/>
      </right>
      <top/>
      <bottom style="thin">
        <color theme="1"/>
      </bottom>
      <diagonal/>
    </border>
    <border>
      <left style="thin">
        <color indexed="8"/>
      </left>
      <right style="thin">
        <color indexed="8"/>
      </right>
      <top/>
      <bottom style="thin">
        <color theme="1"/>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indexed="8"/>
      </left>
      <right style="thin">
        <color indexed="64"/>
      </right>
      <top style="thin">
        <color indexed="64"/>
      </top>
      <bottom style="thin">
        <color indexed="64"/>
      </bottom>
      <diagonal/>
    </border>
    <border>
      <left style="thin">
        <color indexed="8"/>
      </left>
      <right/>
      <top style="thin">
        <color indexed="64"/>
      </top>
      <bottom style="thin">
        <color indexed="64"/>
      </bottom>
      <diagonal/>
    </border>
    <border>
      <left style="thin">
        <color theme="1"/>
      </left>
      <right style="thin">
        <color indexed="8"/>
      </right>
      <top style="thin">
        <color indexed="8"/>
      </top>
      <bottom style="thin">
        <color indexed="8"/>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theme="1"/>
      </bottom>
      <diagonal/>
    </border>
    <border>
      <left style="thin">
        <color indexed="8"/>
      </left>
      <right/>
      <top/>
      <bottom/>
      <diagonal/>
    </border>
    <border>
      <left/>
      <right style="thin">
        <color indexed="8"/>
      </right>
      <top/>
      <bottom/>
      <diagonal/>
    </border>
    <border>
      <left style="thin">
        <color theme="1"/>
      </left>
      <right/>
      <top style="thin">
        <color theme="1"/>
      </top>
      <bottom/>
      <diagonal/>
    </border>
    <border>
      <left style="thin">
        <color theme="1"/>
      </left>
      <right style="thin">
        <color theme="1"/>
      </right>
      <top style="thin">
        <color theme="1"/>
      </top>
      <bottom style="thin">
        <color theme="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style="thin">
        <color indexed="64"/>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theme="0" tint="-0.14999847407452621"/>
      </bottom>
      <diagonal/>
    </border>
    <border>
      <left/>
      <right style="thin">
        <color indexed="64"/>
      </right>
      <top style="thin">
        <color indexed="64"/>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2">
    <xf numFmtId="0" fontId="0" fillId="0" borderId="0"/>
    <xf numFmtId="43" fontId="6" fillId="0" borderId="0" applyFont="0" applyFill="0" applyBorder="0" applyAlignment="0" applyProtection="0"/>
    <xf numFmtId="44" fontId="6" fillId="0" borderId="0" applyFont="0" applyFill="0" applyBorder="0" applyAlignment="0" applyProtection="0"/>
    <xf numFmtId="0" fontId="5" fillId="0" borderId="0"/>
    <xf numFmtId="37" fontId="18" fillId="0" borderId="0"/>
    <xf numFmtId="0" fontId="5" fillId="0" borderId="0"/>
    <xf numFmtId="0" fontId="5" fillId="0" borderId="0"/>
    <xf numFmtId="9" fontId="6" fillId="0" borderId="0" applyFont="0" applyFill="0" applyBorder="0" applyAlignment="0" applyProtection="0"/>
    <xf numFmtId="9" fontId="5" fillId="0" borderId="0" applyFont="0" applyFill="0" applyBorder="0" applyAlignment="0" applyProtection="0"/>
    <xf numFmtId="0" fontId="19" fillId="0" borderId="0"/>
    <xf numFmtId="0" fontId="4" fillId="0" borderId="0"/>
    <xf numFmtId="0" fontId="4" fillId="0" borderId="0"/>
    <xf numFmtId="0" fontId="3" fillId="0" borderId="0"/>
    <xf numFmtId="43" fontId="19" fillId="0" borderId="0" applyFont="0" applyFill="0" applyBorder="0" applyAlignment="0" applyProtection="0"/>
    <xf numFmtId="44" fontId="19" fillId="0" borderId="0" applyFont="0" applyFill="0" applyBorder="0" applyAlignment="0" applyProtection="0"/>
    <xf numFmtId="0" fontId="19" fillId="0" borderId="0"/>
    <xf numFmtId="0" fontId="2" fillId="0" borderId="0"/>
    <xf numFmtId="0" fontId="2" fillId="0" borderId="0"/>
    <xf numFmtId="0" fontId="56" fillId="0" borderId="0" applyNumberFormat="0" applyFill="0" applyBorder="0" applyAlignment="0" applyProtection="0"/>
    <xf numFmtId="43" fontId="5" fillId="0" borderId="0" applyFont="0" applyFill="0" applyBorder="0" applyAlignment="0" applyProtection="0"/>
    <xf numFmtId="0" fontId="58" fillId="0" borderId="0"/>
    <xf numFmtId="44" fontId="5" fillId="0" borderId="0" applyFont="0" applyFill="0" applyBorder="0" applyAlignment="0" applyProtection="0"/>
  </cellStyleXfs>
  <cellXfs count="844">
    <xf numFmtId="0" fontId="0" fillId="0" borderId="0" xfId="0"/>
    <xf numFmtId="0" fontId="7" fillId="0" borderId="0" xfId="0" applyFont="1"/>
    <xf numFmtId="0" fontId="8" fillId="0" borderId="0" xfId="0" applyFont="1"/>
    <xf numFmtId="0" fontId="8" fillId="0" borderId="0" xfId="0" applyFont="1" applyAlignment="1">
      <alignment horizontal="right"/>
    </xf>
    <xf numFmtId="37" fontId="8" fillId="0" borderId="0" xfId="0" applyNumberFormat="1" applyFont="1"/>
    <xf numFmtId="5" fontId="8" fillId="0" borderId="0" xfId="0" applyNumberFormat="1" applyFont="1"/>
    <xf numFmtId="37" fontId="8" fillId="0" borderId="0" xfId="0" applyNumberFormat="1" applyFont="1" applyAlignment="1">
      <alignment horizontal="right"/>
    </xf>
    <xf numFmtId="5" fontId="7" fillId="0" borderId="0" xfId="0" applyNumberFormat="1" applyFont="1"/>
    <xf numFmtId="0" fontId="11" fillId="0" borderId="0" xfId="0" applyFont="1" applyAlignment="1">
      <alignment horizontal="centerContinuous"/>
    </xf>
    <xf numFmtId="10" fontId="8" fillId="0" borderId="0" xfId="0" applyNumberFormat="1" applyFont="1"/>
    <xf numFmtId="0" fontId="12" fillId="0" borderId="0" xfId="0" applyFont="1"/>
    <xf numFmtId="0" fontId="13" fillId="0" borderId="0" xfId="0" applyFont="1" applyProtection="1">
      <protection locked="0"/>
    </xf>
    <xf numFmtId="165" fontId="12" fillId="0" borderId="0" xfId="0" applyNumberFormat="1" applyFont="1"/>
    <xf numFmtId="166" fontId="8" fillId="0" borderId="0" xfId="0" applyNumberFormat="1" applyFont="1"/>
    <xf numFmtId="37" fontId="7" fillId="0" borderId="0" xfId="0" applyNumberFormat="1" applyFont="1"/>
    <xf numFmtId="0" fontId="16" fillId="0" borderId="0" xfId="0" applyFont="1"/>
    <xf numFmtId="0" fontId="11" fillId="0" borderId="0" xfId="0" applyFont="1"/>
    <xf numFmtId="0" fontId="7" fillId="0" borderId="0" xfId="0" applyFont="1" applyAlignment="1">
      <alignment horizontal="left"/>
    </xf>
    <xf numFmtId="0" fontId="17" fillId="0" borderId="0" xfId="0" applyFont="1"/>
    <xf numFmtId="5" fontId="0" fillId="0" borderId="0" xfId="0" applyNumberFormat="1"/>
    <xf numFmtId="44" fontId="17" fillId="0" borderId="0" xfId="0" applyNumberFormat="1" applyFont="1"/>
    <xf numFmtId="7" fontId="0" fillId="0" borderId="0" xfId="0" applyNumberFormat="1"/>
    <xf numFmtId="44" fontId="17" fillId="0" borderId="0" xfId="2" applyFont="1"/>
    <xf numFmtId="0" fontId="22" fillId="0" borderId="0" xfId="0" applyFont="1"/>
    <xf numFmtId="0" fontId="23" fillId="0" borderId="0" xfId="0" applyFont="1"/>
    <xf numFmtId="0" fontId="25" fillId="0" borderId="0" xfId="0" applyFont="1" applyAlignment="1">
      <alignment horizontal="centerContinuous"/>
    </xf>
    <xf numFmtId="170" fontId="25" fillId="0" borderId="0" xfId="0" applyNumberFormat="1" applyFont="1" applyAlignment="1">
      <alignment horizontal="centerContinuous"/>
    </xf>
    <xf numFmtId="5" fontId="12" fillId="0" borderId="0" xfId="0" applyNumberFormat="1" applyFont="1"/>
    <xf numFmtId="10" fontId="12" fillId="0" borderId="0" xfId="0" applyNumberFormat="1" applyFont="1"/>
    <xf numFmtId="5" fontId="13" fillId="0" borderId="0" xfId="0" applyNumberFormat="1" applyFont="1" applyProtection="1">
      <protection locked="0"/>
    </xf>
    <xf numFmtId="10" fontId="13" fillId="0" borderId="0" xfId="0" applyNumberFormat="1" applyFont="1" applyProtection="1">
      <protection locked="0"/>
    </xf>
    <xf numFmtId="9" fontId="13" fillId="0" borderId="0" xfId="0" applyNumberFormat="1" applyFont="1" applyProtection="1">
      <protection locked="0"/>
    </xf>
    <xf numFmtId="7" fontId="13" fillId="0" borderId="0" xfId="0" applyNumberFormat="1" applyFont="1" applyProtection="1">
      <protection locked="0"/>
    </xf>
    <xf numFmtId="37" fontId="13" fillId="0" borderId="0" xfId="0" applyNumberFormat="1" applyFont="1" applyProtection="1">
      <protection locked="0"/>
    </xf>
    <xf numFmtId="10" fontId="12" fillId="0" borderId="0" xfId="0" applyNumberFormat="1" applyFont="1" applyAlignment="1">
      <alignment horizontal="centerContinuous"/>
    </xf>
    <xf numFmtId="10" fontId="24" fillId="0" borderId="0" xfId="0" applyNumberFormat="1" applyFont="1"/>
    <xf numFmtId="0" fontId="20" fillId="0" borderId="0" xfId="0" applyFont="1"/>
    <xf numFmtId="170" fontId="23" fillId="0" borderId="0" xfId="0" applyNumberFormat="1" applyFont="1"/>
    <xf numFmtId="3" fontId="17" fillId="0" borderId="0" xfId="0" applyNumberFormat="1" applyFont="1"/>
    <xf numFmtId="0" fontId="17" fillId="0" borderId="0" xfId="0" applyFont="1" applyAlignment="1">
      <alignment horizontal="right"/>
    </xf>
    <xf numFmtId="37" fontId="15" fillId="0" borderId="0" xfId="0" applyNumberFormat="1" applyFont="1"/>
    <xf numFmtId="0" fontId="17" fillId="0" borderId="0" xfId="0" applyFont="1" applyAlignment="1">
      <alignment horizontal="left"/>
    </xf>
    <xf numFmtId="7" fontId="17" fillId="0" borderId="0" xfId="0" applyNumberFormat="1" applyFont="1"/>
    <xf numFmtId="10" fontId="27" fillId="0" borderId="0" xfId="0" applyNumberFormat="1" applyFont="1"/>
    <xf numFmtId="39" fontId="27" fillId="0" borderId="0" xfId="0" applyNumberFormat="1" applyFont="1"/>
    <xf numFmtId="0" fontId="0" fillId="0" borderId="0" xfId="0" applyAlignment="1">
      <alignment horizontal="right"/>
    </xf>
    <xf numFmtId="7" fontId="8" fillId="0" borderId="0" xfId="0" applyNumberFormat="1" applyFont="1"/>
    <xf numFmtId="9" fontId="8" fillId="0" borderId="0" xfId="0" applyNumberFormat="1" applyFont="1"/>
    <xf numFmtId="2" fontId="0" fillId="0" borderId="0" xfId="0" applyNumberFormat="1"/>
    <xf numFmtId="0" fontId="19" fillId="0" borderId="0" xfId="0" applyFont="1"/>
    <xf numFmtId="3" fontId="0" fillId="0" borderId="0" xfId="0" applyNumberFormat="1"/>
    <xf numFmtId="3" fontId="0" fillId="0" borderId="0" xfId="0" applyNumberFormat="1" applyAlignment="1">
      <alignment horizontal="right"/>
    </xf>
    <xf numFmtId="5" fontId="17" fillId="0" borderId="0" xfId="0" applyNumberFormat="1" applyFont="1" applyAlignment="1">
      <alignment horizontal="right"/>
    </xf>
    <xf numFmtId="172" fontId="8" fillId="0" borderId="0" xfId="0" applyNumberFormat="1" applyFont="1"/>
    <xf numFmtId="0" fontId="17" fillId="0" borderId="0" xfId="0" applyFont="1" applyProtection="1">
      <protection hidden="1"/>
    </xf>
    <xf numFmtId="41" fontId="7" fillId="0" borderId="2" xfId="0" applyNumberFormat="1" applyFont="1" applyBorder="1"/>
    <xf numFmtId="41" fontId="12" fillId="0" borderId="0" xfId="0" applyNumberFormat="1" applyFont="1" applyAlignment="1">
      <alignment horizontal="center"/>
    </xf>
    <xf numFmtId="41" fontId="20" fillId="0" borderId="0" xfId="0" applyNumberFormat="1" applyFont="1" applyAlignment="1">
      <alignment horizontal="right"/>
    </xf>
    <xf numFmtId="0" fontId="20" fillId="0" borderId="0" xfId="0" applyFont="1" applyAlignment="1">
      <alignment horizontal="center"/>
    </xf>
    <xf numFmtId="164" fontId="7" fillId="0" borderId="0" xfId="0" applyNumberFormat="1" applyFont="1" applyAlignment="1">
      <alignment horizontal="center"/>
    </xf>
    <xf numFmtId="0" fontId="7" fillId="0" borderId="0" xfId="0" applyFont="1" applyAlignment="1">
      <alignment horizontal="center"/>
    </xf>
    <xf numFmtId="0" fontId="7" fillId="0" borderId="0" xfId="0" applyFont="1" applyAlignment="1">
      <alignment horizontal="right"/>
    </xf>
    <xf numFmtId="173" fontId="10" fillId="0" borderId="0" xfId="1" applyNumberFormat="1" applyFont="1" applyProtection="1"/>
    <xf numFmtId="173" fontId="12" fillId="0" borderId="0" xfId="1" applyNumberFormat="1" applyFont="1" applyProtection="1"/>
    <xf numFmtId="8" fontId="0" fillId="0" borderId="0" xfId="0" applyNumberFormat="1"/>
    <xf numFmtId="173" fontId="0" fillId="0" borderId="0" xfId="1" applyNumberFormat="1" applyFont="1"/>
    <xf numFmtId="173" fontId="8" fillId="0" borderId="0" xfId="0" applyNumberFormat="1" applyFont="1"/>
    <xf numFmtId="173" fontId="17" fillId="0" borderId="0" xfId="1" applyNumberFormat="1" applyFont="1" applyFill="1" applyBorder="1"/>
    <xf numFmtId="0" fontId="23" fillId="0" borderId="0" xfId="0" applyFont="1" applyAlignment="1">
      <alignment wrapText="1"/>
    </xf>
    <xf numFmtId="10" fontId="12" fillId="0" borderId="0" xfId="0" applyNumberFormat="1" applyFont="1" applyAlignment="1">
      <alignment horizontal="left"/>
    </xf>
    <xf numFmtId="0" fontId="0" fillId="0" borderId="8" xfId="0" applyBorder="1"/>
    <xf numFmtId="0" fontId="7" fillId="0" borderId="9" xfId="0" applyFont="1" applyBorder="1"/>
    <xf numFmtId="10" fontId="12" fillId="0" borderId="9" xfId="0" applyNumberFormat="1" applyFont="1" applyBorder="1"/>
    <xf numFmtId="10" fontId="12" fillId="0" borderId="9" xfId="0" applyNumberFormat="1" applyFont="1" applyBorder="1" applyAlignment="1">
      <alignment horizontal="center"/>
    </xf>
    <xf numFmtId="10" fontId="12" fillId="0" borderId="10" xfId="0" applyNumberFormat="1" applyFont="1" applyBorder="1"/>
    <xf numFmtId="10" fontId="12" fillId="0" borderId="4" xfId="0" applyNumberFormat="1" applyFont="1" applyBorder="1"/>
    <xf numFmtId="0" fontId="7" fillId="0" borderId="11" xfId="0" applyFont="1" applyBorder="1"/>
    <xf numFmtId="10" fontId="12" fillId="0" borderId="10" xfId="0" applyNumberFormat="1" applyFont="1" applyBorder="1" applyAlignment="1">
      <alignment horizontal="right"/>
    </xf>
    <xf numFmtId="170" fontId="12" fillId="0" borderId="0" xfId="0" applyNumberFormat="1" applyFont="1"/>
    <xf numFmtId="165" fontId="12" fillId="0" borderId="0" xfId="0" applyNumberFormat="1" applyFont="1" applyAlignment="1">
      <alignment horizontal="left"/>
    </xf>
    <xf numFmtId="173" fontId="17" fillId="0" borderId="0" xfId="1" applyNumberFormat="1" applyFont="1"/>
    <xf numFmtId="5" fontId="17" fillId="0" borderId="0" xfId="0" applyNumberFormat="1" applyFont="1"/>
    <xf numFmtId="37" fontId="17" fillId="0" borderId="0" xfId="0" applyNumberFormat="1" applyFont="1"/>
    <xf numFmtId="0" fontId="7" fillId="0" borderId="9" xfId="0" applyFont="1" applyBorder="1" applyAlignment="1">
      <alignment horizontal="left"/>
    </xf>
    <xf numFmtId="3" fontId="17" fillId="0" borderId="9" xfId="0" applyNumberFormat="1" applyFont="1" applyBorder="1"/>
    <xf numFmtId="173" fontId="17" fillId="0" borderId="9" xfId="1" applyNumberFormat="1" applyFont="1" applyFill="1" applyBorder="1"/>
    <xf numFmtId="0" fontId="7" fillId="0" borderId="11" xfId="0" applyFont="1" applyBorder="1" applyAlignment="1">
      <alignment horizontal="left"/>
    </xf>
    <xf numFmtId="0" fontId="7" fillId="0" borderId="3" xfId="0" applyFont="1" applyBorder="1" applyAlignment="1">
      <alignment horizontal="left"/>
    </xf>
    <xf numFmtId="3" fontId="17" fillId="0" borderId="8" xfId="0" applyNumberFormat="1" applyFont="1" applyBorder="1"/>
    <xf numFmtId="37" fontId="29" fillId="0" borderId="0" xfId="0" applyNumberFormat="1" applyFont="1"/>
    <xf numFmtId="173" fontId="29" fillId="0" borderId="0" xfId="1" applyNumberFormat="1" applyFont="1" applyFill="1" applyBorder="1"/>
    <xf numFmtId="0" fontId="8" fillId="0" borderId="3" xfId="0" applyFont="1" applyBorder="1"/>
    <xf numFmtId="0" fontId="8" fillId="0" borderId="8" xfId="0" applyFont="1" applyBorder="1"/>
    <xf numFmtId="5" fontId="8" fillId="0" borderId="4" xfId="0" applyNumberFormat="1" applyFont="1" applyBorder="1"/>
    <xf numFmtId="37" fontId="7" fillId="0" borderId="9" xfId="0" applyNumberFormat="1" applyFont="1" applyBorder="1"/>
    <xf numFmtId="37" fontId="8" fillId="0" borderId="9" xfId="0" applyNumberFormat="1" applyFont="1" applyBorder="1"/>
    <xf numFmtId="0" fontId="0" fillId="0" borderId="9" xfId="0" applyBorder="1"/>
    <xf numFmtId="0" fontId="0" fillId="0" borderId="10" xfId="0" applyBorder="1"/>
    <xf numFmtId="0" fontId="0" fillId="0" borderId="2" xfId="0" applyBorder="1"/>
    <xf numFmtId="37" fontId="8" fillId="0" borderId="3" xfId="0" applyNumberFormat="1" applyFont="1" applyBorder="1"/>
    <xf numFmtId="0" fontId="8" fillId="0" borderId="8" xfId="0" applyFont="1" applyBorder="1" applyAlignment="1">
      <alignment horizontal="right"/>
    </xf>
    <xf numFmtId="2" fontId="0" fillId="0" borderId="8" xfId="0" applyNumberFormat="1" applyBorder="1"/>
    <xf numFmtId="0" fontId="8" fillId="0" borderId="4" xfId="0" applyFont="1" applyBorder="1"/>
    <xf numFmtId="167" fontId="8" fillId="0" borderId="9" xfId="0" applyNumberFormat="1" applyFont="1" applyBorder="1"/>
    <xf numFmtId="0" fontId="8" fillId="0" borderId="9" xfId="0" applyFont="1" applyBorder="1"/>
    <xf numFmtId="0" fontId="8" fillId="0" borderId="12" xfId="0" applyFont="1" applyBorder="1"/>
    <xf numFmtId="169" fontId="8" fillId="2" borderId="13" xfId="2" applyNumberFormat="1" applyFont="1" applyFill="1" applyBorder="1" applyProtection="1"/>
    <xf numFmtId="2" fontId="0" fillId="2" borderId="14" xfId="0" applyNumberFormat="1" applyFill="1" applyBorder="1"/>
    <xf numFmtId="2" fontId="0" fillId="2" borderId="15" xfId="0" applyNumberFormat="1" applyFill="1" applyBorder="1"/>
    <xf numFmtId="0" fontId="8" fillId="0" borderId="0" xfId="0" applyFont="1" applyAlignment="1">
      <alignment horizontal="center"/>
    </xf>
    <xf numFmtId="0" fontId="8" fillId="0" borderId="0" xfId="0" applyFont="1" applyAlignment="1">
      <alignment horizontal="centerContinuous"/>
    </xf>
    <xf numFmtId="173" fontId="0" fillId="0" borderId="0" xfId="1" applyNumberFormat="1" applyFont="1" applyBorder="1"/>
    <xf numFmtId="0" fontId="0" fillId="0" borderId="4" xfId="0" applyBorder="1"/>
    <xf numFmtId="0" fontId="0" fillId="0" borderId="3" xfId="0" applyBorder="1"/>
    <xf numFmtId="169" fontId="8" fillId="0" borderId="0" xfId="2" applyNumberFormat="1" applyFont="1" applyAlignment="1" applyProtection="1">
      <alignment horizontal="right"/>
    </xf>
    <xf numFmtId="169" fontId="19" fillId="0" borderId="0" xfId="2" applyNumberFormat="1" applyFont="1" applyAlignment="1" applyProtection="1">
      <alignment horizontal="right"/>
    </xf>
    <xf numFmtId="169" fontId="0" fillId="0" borderId="0" xfId="2" applyNumberFormat="1" applyFont="1" applyAlignment="1">
      <alignment horizontal="right"/>
    </xf>
    <xf numFmtId="169" fontId="19" fillId="0" borderId="0" xfId="2" applyNumberFormat="1" applyFont="1" applyAlignment="1">
      <alignment horizontal="right"/>
    </xf>
    <xf numFmtId="164" fontId="8" fillId="2" borderId="14" xfId="0" applyNumberFormat="1" applyFont="1" applyFill="1" applyBorder="1"/>
    <xf numFmtId="37" fontId="8" fillId="2" borderId="14" xfId="0" applyNumberFormat="1" applyFont="1" applyFill="1" applyBorder="1" applyAlignment="1">
      <alignment horizontal="right"/>
    </xf>
    <xf numFmtId="168" fontId="8" fillId="2" borderId="14" xfId="0" applyNumberFormat="1" applyFont="1" applyFill="1" applyBorder="1"/>
    <xf numFmtId="9" fontId="17" fillId="0" borderId="0" xfId="7" applyFont="1" applyFill="1" applyBorder="1"/>
    <xf numFmtId="173" fontId="17" fillId="0" borderId="8" xfId="1" applyNumberFormat="1" applyFont="1" applyFill="1" applyBorder="1"/>
    <xf numFmtId="0" fontId="7" fillId="0" borderId="0" xfId="0" applyFont="1" applyAlignment="1">
      <alignment wrapText="1"/>
    </xf>
    <xf numFmtId="0" fontId="8" fillId="0" borderId="16" xfId="0" applyFont="1" applyBorder="1"/>
    <xf numFmtId="0" fontId="8" fillId="0" borderId="16" xfId="0" applyFont="1" applyBorder="1" applyAlignment="1">
      <alignment horizontal="center"/>
    </xf>
    <xf numFmtId="10" fontId="0" fillId="0" borderId="8" xfId="0" applyNumberFormat="1" applyBorder="1"/>
    <xf numFmtId="0" fontId="0" fillId="0" borderId="0" xfId="0" applyAlignment="1">
      <alignment horizontal="center"/>
    </xf>
    <xf numFmtId="0" fontId="17" fillId="0" borderId="0" xfId="0" applyFont="1" applyAlignment="1">
      <alignment horizontal="center"/>
    </xf>
    <xf numFmtId="9" fontId="0" fillId="0" borderId="0" xfId="0" applyNumberFormat="1" applyAlignment="1">
      <alignment horizontal="center"/>
    </xf>
    <xf numFmtId="0" fontId="0" fillId="0" borderId="18" xfId="0" applyBorder="1"/>
    <xf numFmtId="0" fontId="17" fillId="0" borderId="19" xfId="0" applyFont="1" applyBorder="1" applyAlignment="1">
      <alignment horizontal="center"/>
    </xf>
    <xf numFmtId="173" fontId="17" fillId="0" borderId="19" xfId="1" applyNumberFormat="1" applyFont="1" applyBorder="1"/>
    <xf numFmtId="0" fontId="17" fillId="0" borderId="20" xfId="0" applyFont="1" applyBorder="1"/>
    <xf numFmtId="0" fontId="0" fillId="0" borderId="17" xfId="0" applyBorder="1"/>
    <xf numFmtId="173" fontId="32" fillId="0" borderId="0" xfId="1" applyNumberFormat="1" applyFont="1" applyBorder="1"/>
    <xf numFmtId="0" fontId="34" fillId="0" borderId="0" xfId="0" applyFont="1" applyAlignment="1">
      <alignment horizontal="center"/>
    </xf>
    <xf numFmtId="0" fontId="17" fillId="0" borderId="21" xfId="0" applyFont="1" applyBorder="1"/>
    <xf numFmtId="0" fontId="0" fillId="0" borderId="5" xfId="0" applyBorder="1" applyAlignment="1">
      <alignment horizontal="center"/>
    </xf>
    <xf numFmtId="173" fontId="0" fillId="0" borderId="22" xfId="1" applyNumberFormat="1" applyFont="1" applyBorder="1"/>
    <xf numFmtId="0" fontId="0" fillId="0" borderId="21" xfId="0" applyBorder="1"/>
    <xf numFmtId="0" fontId="0" fillId="0" borderId="5" xfId="0" applyBorder="1"/>
    <xf numFmtId="9" fontId="0" fillId="0" borderId="22" xfId="7" applyFont="1" applyBorder="1"/>
    <xf numFmtId="173" fontId="17" fillId="0" borderId="5" xfId="1" applyNumberFormat="1" applyFont="1" applyBorder="1"/>
    <xf numFmtId="173" fontId="17" fillId="0" borderId="22" xfId="1" applyNumberFormat="1" applyFont="1" applyBorder="1"/>
    <xf numFmtId="0" fontId="8" fillId="0" borderId="14" xfId="0" applyFont="1" applyBorder="1" applyAlignment="1">
      <alignment horizontal="left"/>
    </xf>
    <xf numFmtId="3" fontId="7" fillId="0" borderId="0" xfId="0" applyNumberFormat="1" applyFont="1" applyAlignment="1">
      <alignment horizontal="centerContinuous"/>
    </xf>
    <xf numFmtId="173" fontId="17" fillId="0" borderId="0" xfId="1" applyNumberFormat="1" applyFont="1" applyAlignment="1">
      <alignment horizontal="left"/>
    </xf>
    <xf numFmtId="173" fontId="17" fillId="0" borderId="0" xfId="1" applyNumberFormat="1" applyFont="1" applyAlignment="1"/>
    <xf numFmtId="0" fontId="34" fillId="0" borderId="0" xfId="0" applyFont="1"/>
    <xf numFmtId="170" fontId="17" fillId="0" borderId="0" xfId="0" applyNumberFormat="1" applyFont="1"/>
    <xf numFmtId="10" fontId="8" fillId="2" borderId="0" xfId="0" applyNumberFormat="1" applyFont="1" applyFill="1"/>
    <xf numFmtId="170" fontId="5" fillId="0" borderId="0" xfId="6" applyNumberFormat="1"/>
    <xf numFmtId="0" fontId="5" fillId="0" borderId="0" xfId="6"/>
    <xf numFmtId="0" fontId="36" fillId="0" borderId="0" xfId="6" applyFont="1" applyAlignment="1">
      <alignment horizontal="left"/>
    </xf>
    <xf numFmtId="0" fontId="36" fillId="0" borderId="0" xfId="6" applyFont="1"/>
    <xf numFmtId="0" fontId="36" fillId="0" borderId="0" xfId="6" applyFont="1" applyAlignment="1">
      <alignment horizontal="center"/>
    </xf>
    <xf numFmtId="0" fontId="5" fillId="0" borderId="0" xfId="6" applyAlignment="1">
      <alignment horizontal="left"/>
    </xf>
    <xf numFmtId="170" fontId="5" fillId="0" borderId="5" xfId="6" applyNumberFormat="1" applyBorder="1" applyAlignment="1">
      <alignment horizontal="center"/>
    </xf>
    <xf numFmtId="0" fontId="5" fillId="0" borderId="0" xfId="6" applyAlignment="1">
      <alignment horizontal="center"/>
    </xf>
    <xf numFmtId="3" fontId="5" fillId="0" borderId="5" xfId="6" applyNumberFormat="1" applyBorder="1" applyAlignment="1">
      <alignment horizontal="center"/>
    </xf>
    <xf numFmtId="3" fontId="36" fillId="0" borderId="5" xfId="6" applyNumberFormat="1" applyFont="1" applyBorder="1" applyAlignment="1">
      <alignment horizontal="center"/>
    </xf>
    <xf numFmtId="0" fontId="37" fillId="0" borderId="0" xfId="6" applyFont="1" applyAlignment="1">
      <alignment horizontal="center" wrapText="1"/>
    </xf>
    <xf numFmtId="0" fontId="37" fillId="0" borderId="0" xfId="6" applyFont="1" applyAlignment="1">
      <alignment wrapText="1"/>
    </xf>
    <xf numFmtId="0" fontId="36" fillId="0" borderId="0" xfId="6" applyFont="1" applyAlignment="1">
      <alignment horizontal="center" wrapText="1"/>
    </xf>
    <xf numFmtId="0" fontId="37" fillId="0" borderId="0" xfId="6" applyFont="1" applyAlignment="1">
      <alignment horizontal="left"/>
    </xf>
    <xf numFmtId="0" fontId="5" fillId="0" borderId="5" xfId="6" applyBorder="1" applyAlignment="1" applyProtection="1">
      <alignment horizontal="center"/>
      <protection locked="0"/>
    </xf>
    <xf numFmtId="170" fontId="36" fillId="0" borderId="5" xfId="6" applyNumberFormat="1" applyFont="1" applyBorder="1" applyAlignment="1">
      <alignment horizontal="center"/>
    </xf>
    <xf numFmtId="170" fontId="36" fillId="0" borderId="5" xfId="6" applyNumberFormat="1" applyFont="1" applyBorder="1"/>
    <xf numFmtId="170" fontId="36" fillId="0" borderId="0" xfId="6" applyNumberFormat="1" applyFont="1"/>
    <xf numFmtId="170" fontId="5" fillId="0" borderId="0" xfId="6" applyNumberFormat="1" applyProtection="1">
      <protection locked="0"/>
    </xf>
    <xf numFmtId="170" fontId="5" fillId="0" borderId="5" xfId="6" applyNumberFormat="1" applyBorder="1" applyProtection="1">
      <protection locked="0"/>
    </xf>
    <xf numFmtId="170" fontId="36" fillId="0" borderId="5" xfId="6" applyNumberFormat="1" applyFont="1" applyBorder="1" applyProtection="1">
      <protection locked="0"/>
    </xf>
    <xf numFmtId="3" fontId="5" fillId="0" borderId="0" xfId="6" applyNumberFormat="1"/>
    <xf numFmtId="0" fontId="36" fillId="0" borderId="0" xfId="6" applyFont="1" applyAlignment="1">
      <alignment wrapText="1"/>
    </xf>
    <xf numFmtId="0" fontId="5" fillId="0" borderId="5" xfId="6" applyBorder="1" applyProtection="1">
      <protection locked="0"/>
    </xf>
    <xf numFmtId="0" fontId="36" fillId="0" borderId="5" xfId="6" applyFont="1" applyBorder="1" applyProtection="1">
      <protection locked="0"/>
    </xf>
    <xf numFmtId="41" fontId="28" fillId="2" borderId="0" xfId="0" applyNumberFormat="1" applyFont="1" applyFill="1"/>
    <xf numFmtId="41" fontId="7" fillId="2" borderId="2" xfId="0" applyNumberFormat="1" applyFont="1" applyFill="1" applyBorder="1"/>
    <xf numFmtId="0" fontId="35" fillId="0" borderId="0" xfId="6" applyFont="1"/>
    <xf numFmtId="0" fontId="36" fillId="0" borderId="0" xfId="6" applyFont="1" applyAlignment="1">
      <alignment horizontal="right"/>
    </xf>
    <xf numFmtId="0" fontId="36" fillId="3" borderId="0" xfId="6" applyFont="1" applyFill="1"/>
    <xf numFmtId="0" fontId="17" fillId="0" borderId="0" xfId="6" applyFont="1"/>
    <xf numFmtId="0" fontId="17" fillId="3" borderId="0" xfId="6" applyFont="1" applyFill="1"/>
    <xf numFmtId="0" fontId="7" fillId="0" borderId="8" xfId="0" applyFont="1" applyBorder="1" applyAlignment="1">
      <alignment horizontal="right"/>
    </xf>
    <xf numFmtId="170" fontId="7" fillId="0" borderId="2" xfId="0" applyNumberFormat="1" applyFont="1" applyBorder="1"/>
    <xf numFmtId="164" fontId="7" fillId="0" borderId="0" xfId="0" applyNumberFormat="1" applyFont="1" applyAlignment="1">
      <alignment horizontal="left"/>
    </xf>
    <xf numFmtId="173" fontId="7" fillId="0" borderId="4" xfId="0" applyNumberFormat="1" applyFont="1" applyBorder="1"/>
    <xf numFmtId="0" fontId="0" fillId="4" borderId="0" xfId="0" applyFill="1"/>
    <xf numFmtId="0" fontId="0" fillId="0" borderId="0" xfId="0" applyAlignment="1">
      <alignment horizontal="left" indent="1"/>
    </xf>
    <xf numFmtId="0" fontId="40" fillId="0" borderId="0" xfId="0" applyFont="1"/>
    <xf numFmtId="169" fontId="0" fillId="0" borderId="0" xfId="0" applyNumberFormat="1"/>
    <xf numFmtId="0" fontId="17" fillId="4" borderId="0" xfId="0" applyFont="1" applyFill="1"/>
    <xf numFmtId="174" fontId="8" fillId="0" borderId="8" xfId="0" applyNumberFormat="1" applyFont="1" applyBorder="1"/>
    <xf numFmtId="5" fontId="0" fillId="0" borderId="17" xfId="0" applyNumberFormat="1" applyBorder="1"/>
    <xf numFmtId="43" fontId="0" fillId="0" borderId="17" xfId="1" applyFont="1" applyBorder="1"/>
    <xf numFmtId="173" fontId="8" fillId="0" borderId="0" xfId="1" applyNumberFormat="1" applyFont="1" applyProtection="1"/>
    <xf numFmtId="173" fontId="0" fillId="0" borderId="0" xfId="0" applyNumberFormat="1"/>
    <xf numFmtId="173" fontId="41" fillId="0" borderId="0" xfId="1" applyNumberFormat="1" applyFont="1"/>
    <xf numFmtId="173" fontId="41" fillId="0" borderId="0" xfId="1" applyNumberFormat="1" applyFont="1" applyProtection="1"/>
    <xf numFmtId="0" fontId="17" fillId="0" borderId="0" xfId="0" applyFont="1" applyAlignment="1">
      <alignment horizontal="left" indent="2"/>
    </xf>
    <xf numFmtId="168" fontId="8" fillId="2" borderId="15" xfId="0" applyNumberFormat="1" applyFont="1" applyFill="1" applyBorder="1"/>
    <xf numFmtId="0" fontId="41" fillId="0" borderId="19" xfId="0" applyFont="1" applyBorder="1"/>
    <xf numFmtId="169" fontId="8" fillId="0" borderId="0" xfId="0" applyNumberFormat="1" applyFont="1"/>
    <xf numFmtId="170" fontId="0" fillId="0" borderId="0" xfId="0" applyNumberFormat="1"/>
    <xf numFmtId="170" fontId="0" fillId="0" borderId="8" xfId="0" applyNumberFormat="1" applyBorder="1"/>
    <xf numFmtId="0" fontId="45" fillId="0" borderId="0" xfId="0" applyFont="1" applyAlignment="1">
      <alignment horizontal="center" wrapText="1"/>
    </xf>
    <xf numFmtId="0" fontId="45" fillId="0" borderId="0" xfId="0" applyFont="1"/>
    <xf numFmtId="37" fontId="39" fillId="0" borderId="0" xfId="0" applyNumberFormat="1" applyFont="1"/>
    <xf numFmtId="3" fontId="39" fillId="0" borderId="0" xfId="0" applyNumberFormat="1" applyFont="1"/>
    <xf numFmtId="0" fontId="39" fillId="0" borderId="0" xfId="0" applyFont="1"/>
    <xf numFmtId="0" fontId="36" fillId="0" borderId="0" xfId="0" applyFont="1"/>
    <xf numFmtId="0" fontId="5" fillId="0" borderId="5" xfId="6" applyBorder="1"/>
    <xf numFmtId="173" fontId="17" fillId="5" borderId="6" xfId="1" applyNumberFormat="1" applyFont="1" applyFill="1" applyBorder="1"/>
    <xf numFmtId="0" fontId="0" fillId="0" borderId="19" xfId="0" applyBorder="1"/>
    <xf numFmtId="173" fontId="0" fillId="0" borderId="20" xfId="0" applyNumberFormat="1" applyBorder="1"/>
    <xf numFmtId="10" fontId="41" fillId="2" borderId="20" xfId="0" applyNumberFormat="1" applyFont="1" applyFill="1" applyBorder="1"/>
    <xf numFmtId="169" fontId="8" fillId="0" borderId="0" xfId="2" applyNumberFormat="1" applyFont="1" applyFill="1" applyAlignment="1" applyProtection="1">
      <alignment horizontal="right"/>
    </xf>
    <xf numFmtId="0" fontId="19" fillId="4" borderId="6" xfId="5" applyFont="1" applyFill="1" applyBorder="1" applyAlignment="1">
      <alignment horizontal="center" wrapText="1"/>
    </xf>
    <xf numFmtId="0" fontId="44" fillId="0" borderId="0" xfId="0" applyFont="1"/>
    <xf numFmtId="0" fontId="19" fillId="0" borderId="0" xfId="0" applyFont="1" applyAlignment="1">
      <alignment horizontal="center" vertical="center" wrapText="1"/>
    </xf>
    <xf numFmtId="0" fontId="7" fillId="0" borderId="28" xfId="0" applyFont="1" applyBorder="1"/>
    <xf numFmtId="0" fontId="7" fillId="0" borderId="29" xfId="0" applyFont="1" applyBorder="1" applyAlignment="1">
      <alignment horizontal="right"/>
    </xf>
    <xf numFmtId="0" fontId="7" fillId="0" borderId="29" xfId="0" applyFont="1" applyBorder="1"/>
    <xf numFmtId="169" fontId="7" fillId="0" borderId="29" xfId="0" applyNumberFormat="1" applyFont="1" applyBorder="1"/>
    <xf numFmtId="0" fontId="0" fillId="0" borderId="31" xfId="0" applyBorder="1"/>
    <xf numFmtId="0" fontId="0" fillId="0" borderId="32" xfId="0" applyBorder="1"/>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9" fontId="19" fillId="0" borderId="43" xfId="0" applyNumberFormat="1" applyFont="1" applyBorder="1" applyAlignment="1">
      <alignment horizontal="center"/>
    </xf>
    <xf numFmtId="1" fontId="7" fillId="0" borderId="0" xfId="0" applyNumberFormat="1" applyFont="1" applyAlignment="1">
      <alignment horizontal="center"/>
    </xf>
    <xf numFmtId="3" fontId="7" fillId="0" borderId="0" xfId="0" applyNumberFormat="1" applyFont="1" applyAlignment="1">
      <alignment horizontal="center"/>
    </xf>
    <xf numFmtId="1" fontId="8" fillId="0" borderId="14" xfId="0" applyNumberFormat="1" applyFont="1" applyBorder="1" applyAlignment="1">
      <alignment horizontal="center"/>
    </xf>
    <xf numFmtId="1" fontId="19" fillId="5" borderId="7" xfId="7" applyNumberFormat="1" applyFont="1" applyFill="1" applyBorder="1" applyAlignment="1">
      <alignment horizontal="right"/>
    </xf>
    <xf numFmtId="0" fontId="48" fillId="0" borderId="0" xfId="0" applyFont="1"/>
    <xf numFmtId="0" fontId="8" fillId="0" borderId="8" xfId="0" applyFont="1" applyBorder="1" applyAlignment="1">
      <alignment vertical="center"/>
    </xf>
    <xf numFmtId="0" fontId="7" fillId="0" borderId="8" xfId="0" applyFont="1" applyBorder="1" applyAlignment="1">
      <alignment horizontal="right" vertical="center"/>
    </xf>
    <xf numFmtId="0" fontId="8" fillId="0" borderId="4" xfId="0" applyFont="1" applyBorder="1" applyAlignment="1">
      <alignment vertical="center"/>
    </xf>
    <xf numFmtId="0" fontId="8" fillId="0" borderId="0" xfId="0" applyFont="1" applyAlignment="1">
      <alignment vertical="center"/>
    </xf>
    <xf numFmtId="0" fontId="0" fillId="0" borderId="0" xfId="0" applyAlignment="1">
      <alignment vertical="center"/>
    </xf>
    <xf numFmtId="5" fontId="8" fillId="0" borderId="0" xfId="0" applyNumberFormat="1" applyFont="1" applyAlignment="1">
      <alignment vertical="center"/>
    </xf>
    <xf numFmtId="0" fontId="15" fillId="0" borderId="0" xfId="0" applyFont="1" applyAlignment="1">
      <alignment vertical="center"/>
    </xf>
    <xf numFmtId="5" fontId="0" fillId="0" borderId="0" xfId="2" applyNumberFormat="1" applyFont="1" applyBorder="1" applyAlignment="1">
      <alignment vertical="center"/>
    </xf>
    <xf numFmtId="0" fontId="8" fillId="2" borderId="14" xfId="0" applyFont="1" applyFill="1" applyBorder="1" applyAlignment="1">
      <alignment horizontal="center" vertical="center"/>
    </xf>
    <xf numFmtId="0" fontId="8" fillId="0" borderId="31" xfId="0" applyFont="1" applyBorder="1" applyAlignment="1">
      <alignment horizontal="right" vertical="center"/>
    </xf>
    <xf numFmtId="6" fontId="0" fillId="0" borderId="0" xfId="0" applyNumberFormat="1" applyAlignment="1">
      <alignment horizontal="center" vertical="center"/>
    </xf>
    <xf numFmtId="0" fontId="8" fillId="0" borderId="0" xfId="0" applyFont="1" applyAlignment="1">
      <alignment horizontal="center" vertical="center"/>
    </xf>
    <xf numFmtId="169" fontId="19" fillId="0" borderId="0" xfId="2" applyNumberFormat="1" applyFont="1" applyFill="1" applyBorder="1" applyAlignment="1">
      <alignment vertical="center"/>
    </xf>
    <xf numFmtId="9" fontId="8" fillId="0" borderId="0" xfId="0" applyNumberFormat="1" applyFont="1" applyAlignment="1">
      <alignment vertical="center"/>
    </xf>
    <xf numFmtId="169" fontId="7" fillId="0" borderId="0" xfId="0" applyNumberFormat="1" applyFont="1" applyAlignment="1">
      <alignment vertical="center"/>
    </xf>
    <xf numFmtId="5" fontId="7" fillId="0" borderId="0" xfId="0" applyNumberFormat="1" applyFont="1" applyAlignment="1">
      <alignment vertical="center"/>
    </xf>
    <xf numFmtId="7" fontId="8" fillId="0" borderId="0" xfId="0" applyNumberFormat="1" applyFont="1" applyAlignment="1">
      <alignment vertical="center"/>
    </xf>
    <xf numFmtId="5" fontId="8" fillId="2" borderId="14" xfId="0" applyNumberFormat="1" applyFont="1" applyFill="1" applyBorder="1" applyAlignment="1">
      <alignment vertical="center"/>
    </xf>
    <xf numFmtId="0" fontId="8" fillId="0" borderId="3" xfId="0" applyFont="1" applyBorder="1" applyAlignment="1">
      <alignment vertical="center"/>
    </xf>
    <xf numFmtId="5" fontId="7" fillId="0" borderId="8" xfId="0" applyNumberFormat="1" applyFont="1" applyBorder="1" applyAlignment="1">
      <alignment vertical="center"/>
    </xf>
    <xf numFmtId="0" fontId="7" fillId="0" borderId="4" xfId="0" applyFont="1" applyBorder="1" applyAlignment="1">
      <alignment vertical="center"/>
    </xf>
    <xf numFmtId="0" fontId="8" fillId="0" borderId="0" xfId="0" applyFont="1" applyAlignment="1">
      <alignment horizontal="left"/>
    </xf>
    <xf numFmtId="0" fontId="19" fillId="0" borderId="18" xfId="0" applyFont="1" applyBorder="1"/>
    <xf numFmtId="0" fontId="30" fillId="0" borderId="49" xfId="0" applyFont="1" applyBorder="1"/>
    <xf numFmtId="0" fontId="10" fillId="0" borderId="50" xfId="0" applyFont="1" applyBorder="1"/>
    <xf numFmtId="0" fontId="10" fillId="0" borderId="51" xfId="0" applyFont="1" applyBorder="1"/>
    <xf numFmtId="41" fontId="7" fillId="2" borderId="52" xfId="0" applyNumberFormat="1" applyFont="1" applyFill="1" applyBorder="1"/>
    <xf numFmtId="43" fontId="12" fillId="0" borderId="53" xfId="0" applyNumberFormat="1" applyFont="1" applyBorder="1"/>
    <xf numFmtId="0" fontId="12" fillId="0" borderId="54" xfId="0" applyFont="1" applyBorder="1"/>
    <xf numFmtId="0" fontId="10" fillId="0" borderId="27" xfId="0" applyFont="1" applyBorder="1"/>
    <xf numFmtId="0" fontId="30" fillId="0" borderId="27" xfId="0" applyFont="1" applyBorder="1"/>
    <xf numFmtId="0" fontId="31" fillId="0" borderId="27" xfId="0" applyFont="1" applyBorder="1" applyAlignment="1">
      <alignment horizontal="right"/>
    </xf>
    <xf numFmtId="0" fontId="27" fillId="0" borderId="27" xfId="0" applyFont="1" applyBorder="1"/>
    <xf numFmtId="0" fontId="31" fillId="0" borderId="27" xfId="0" applyFont="1" applyBorder="1"/>
    <xf numFmtId="0" fontId="12" fillId="0" borderId="42" xfId="0" applyFont="1" applyBorder="1"/>
    <xf numFmtId="10" fontId="12" fillId="0" borderId="42" xfId="0" applyNumberFormat="1" applyFont="1" applyBorder="1"/>
    <xf numFmtId="0" fontId="8" fillId="0" borderId="27" xfId="0" applyFont="1" applyBorder="1"/>
    <xf numFmtId="5" fontId="17" fillId="0" borderId="42" xfId="0" applyNumberFormat="1" applyFont="1" applyBorder="1" applyAlignment="1">
      <alignment horizontal="right"/>
    </xf>
    <xf numFmtId="0" fontId="7" fillId="0" borderId="27" xfId="0" applyFont="1" applyBorder="1" applyAlignment="1">
      <alignment horizontal="right"/>
    </xf>
    <xf numFmtId="168" fontId="12" fillId="0" borderId="42" xfId="0" applyNumberFormat="1" applyFont="1" applyBorder="1"/>
    <xf numFmtId="7" fontId="12" fillId="0" borderId="42" xfId="0" applyNumberFormat="1" applyFont="1" applyBorder="1"/>
    <xf numFmtId="0" fontId="31" fillId="0" borderId="55" xfId="0" applyFont="1" applyBorder="1"/>
    <xf numFmtId="41" fontId="7" fillId="0" borderId="58" xfId="0" applyNumberFormat="1" applyFont="1" applyBorder="1"/>
    <xf numFmtId="41" fontId="28" fillId="2" borderId="13" xfId="0" applyNumberFormat="1" applyFont="1" applyFill="1" applyBorder="1"/>
    <xf numFmtId="41" fontId="28" fillId="2" borderId="59" xfId="0" applyNumberFormat="1" applyFont="1" applyFill="1" applyBorder="1"/>
    <xf numFmtId="41" fontId="28" fillId="2" borderId="58" xfId="0" applyNumberFormat="1" applyFont="1" applyFill="1" applyBorder="1"/>
    <xf numFmtId="41" fontId="28" fillId="0" borderId="2" xfId="0" applyNumberFormat="1" applyFont="1" applyBorder="1"/>
    <xf numFmtId="5" fontId="17" fillId="0" borderId="2" xfId="0" applyNumberFormat="1" applyFont="1" applyBorder="1" applyAlignment="1">
      <alignment horizontal="center"/>
    </xf>
    <xf numFmtId="0" fontId="19" fillId="0" borderId="0" xfId="0" applyFont="1" applyAlignment="1">
      <alignment horizontal="center"/>
    </xf>
    <xf numFmtId="9" fontId="17" fillId="2" borderId="61" xfId="7" applyFont="1" applyFill="1" applyBorder="1" applyAlignment="1">
      <alignment horizontal="right"/>
    </xf>
    <xf numFmtId="0" fontId="39" fillId="4" borderId="62" xfId="5" applyFont="1" applyFill="1" applyBorder="1" applyAlignment="1">
      <alignment horizontal="center"/>
    </xf>
    <xf numFmtId="0" fontId="8" fillId="0" borderId="6" xfId="0" applyFont="1" applyBorder="1"/>
    <xf numFmtId="0" fontId="7" fillId="0" borderId="25" xfId="0" applyFont="1" applyBorder="1" applyAlignment="1">
      <alignment horizontal="right" vertical="center"/>
    </xf>
    <xf numFmtId="5" fontId="19" fillId="2" borderId="0" xfId="0" applyNumberFormat="1" applyFont="1" applyFill="1" applyAlignment="1">
      <alignment vertical="center"/>
    </xf>
    <xf numFmtId="5" fontId="8" fillId="2" borderId="0" xfId="0" applyNumberFormat="1" applyFont="1" applyFill="1" applyAlignment="1">
      <alignment vertical="center"/>
    </xf>
    <xf numFmtId="0" fontId="8" fillId="0" borderId="6" xfId="0" applyFont="1" applyBorder="1" applyAlignment="1">
      <alignment horizontal="center"/>
    </xf>
    <xf numFmtId="0" fontId="8" fillId="0" borderId="25" xfId="0" applyFont="1" applyBorder="1" applyAlignment="1">
      <alignment horizontal="center"/>
    </xf>
    <xf numFmtId="37" fontId="7" fillId="0" borderId="16" xfId="0" applyNumberFormat="1" applyFont="1" applyBorder="1"/>
    <xf numFmtId="169" fontId="8" fillId="2" borderId="63" xfId="2" applyNumberFormat="1" applyFont="1" applyFill="1" applyBorder="1" applyProtection="1"/>
    <xf numFmtId="6" fontId="19" fillId="0" borderId="0" xfId="0" applyNumberFormat="1" applyFont="1" applyAlignment="1">
      <alignment vertical="center"/>
    </xf>
    <xf numFmtId="6" fontId="19" fillId="0" borderId="6" xfId="0" applyNumberFormat="1" applyFont="1" applyBorder="1" applyAlignment="1">
      <alignment vertical="center"/>
    </xf>
    <xf numFmtId="9" fontId="40" fillId="0" borderId="0" xfId="8" applyFont="1" applyFill="1" applyBorder="1" applyAlignment="1">
      <alignment horizontal="left"/>
    </xf>
    <xf numFmtId="0" fontId="19" fillId="0" borderId="0" xfId="9"/>
    <xf numFmtId="0" fontId="19" fillId="0" borderId="0" xfId="5" applyFont="1" applyAlignment="1">
      <alignment horizontal="center"/>
    </xf>
    <xf numFmtId="0" fontId="19" fillId="0" borderId="0" xfId="5" applyFont="1" applyAlignment="1">
      <alignment horizontal="center" wrapText="1"/>
    </xf>
    <xf numFmtId="6" fontId="19" fillId="0" borderId="42" xfId="0" applyNumberFormat="1" applyFont="1" applyBorder="1" applyAlignment="1">
      <alignment horizontal="center" vertical="center"/>
    </xf>
    <xf numFmtId="6" fontId="19" fillId="0" borderId="44" xfId="0" applyNumberFormat="1" applyFont="1" applyBorder="1" applyAlignment="1">
      <alignment horizontal="center" vertical="center"/>
    </xf>
    <xf numFmtId="0" fontId="0" fillId="0" borderId="31" xfId="0" applyBorder="1" applyAlignment="1">
      <alignment vertical="center"/>
    </xf>
    <xf numFmtId="0" fontId="19" fillId="0" borderId="32" xfId="0" applyFont="1" applyBorder="1" applyAlignment="1">
      <alignment horizontal="right" vertical="center"/>
    </xf>
    <xf numFmtId="6" fontId="19" fillId="0" borderId="0" xfId="0" applyNumberFormat="1" applyFont="1" applyAlignment="1">
      <alignment horizontal="right" vertical="center"/>
    </xf>
    <xf numFmtId="4" fontId="19" fillId="0" borderId="0" xfId="0" applyNumberFormat="1" applyFont="1" applyAlignment="1">
      <alignment horizontal="center" vertical="center"/>
    </xf>
    <xf numFmtId="0" fontId="17" fillId="0" borderId="46" xfId="0" applyFont="1" applyBorder="1" applyAlignment="1">
      <alignment horizontal="center" vertical="center"/>
    </xf>
    <xf numFmtId="0" fontId="17" fillId="0" borderId="48" xfId="0" applyFont="1" applyBorder="1" applyAlignment="1">
      <alignment horizontal="center" vertical="center"/>
    </xf>
    <xf numFmtId="0" fontId="17" fillId="0" borderId="47" xfId="0" applyFont="1" applyBorder="1" applyAlignment="1">
      <alignment horizontal="center" vertical="center"/>
    </xf>
    <xf numFmtId="0" fontId="7" fillId="0" borderId="0" xfId="0" applyFont="1" applyAlignment="1">
      <alignment horizontal="right" vertical="center"/>
    </xf>
    <xf numFmtId="0" fontId="14" fillId="0" borderId="0" xfId="0" applyFont="1" applyAlignment="1">
      <alignment horizontal="left" vertical="center"/>
    </xf>
    <xf numFmtId="0" fontId="8" fillId="0" borderId="69" xfId="0" applyFont="1" applyBorder="1" applyAlignment="1">
      <alignment vertical="center"/>
    </xf>
    <xf numFmtId="0" fontId="52" fillId="0" borderId="69" xfId="0" applyFont="1" applyBorder="1" applyAlignment="1">
      <alignment vertical="center"/>
    </xf>
    <xf numFmtId="0" fontId="7" fillId="0" borderId="3" xfId="0" applyFont="1" applyBorder="1" applyAlignment="1">
      <alignment vertical="center"/>
    </xf>
    <xf numFmtId="169" fontId="19" fillId="0" borderId="0" xfId="2" applyNumberFormat="1" applyFont="1" applyBorder="1" applyAlignment="1">
      <alignment vertical="center"/>
    </xf>
    <xf numFmtId="0" fontId="19" fillId="0" borderId="0" xfId="0" applyFont="1" applyAlignment="1">
      <alignment vertical="center"/>
    </xf>
    <xf numFmtId="5" fontId="19" fillId="0" borderId="0" xfId="0" applyNumberFormat="1" applyFont="1" applyAlignment="1">
      <alignment vertical="center"/>
    </xf>
    <xf numFmtId="10" fontId="8" fillId="0" borderId="0" xfId="0" applyNumberFormat="1" applyFont="1" applyAlignment="1">
      <alignment vertical="center"/>
    </xf>
    <xf numFmtId="0" fontId="19" fillId="2" borderId="0" xfId="0" applyFont="1" applyFill="1" applyAlignment="1">
      <alignment vertical="center"/>
    </xf>
    <xf numFmtId="0" fontId="7" fillId="0" borderId="6" xfId="0" applyFont="1" applyBorder="1" applyAlignment="1">
      <alignment horizontal="right" vertical="center"/>
    </xf>
    <xf numFmtId="4" fontId="8" fillId="0" borderId="69" xfId="0" applyNumberFormat="1" applyFont="1" applyBorder="1" applyAlignment="1">
      <alignment vertical="center"/>
    </xf>
    <xf numFmtId="0" fontId="8" fillId="0" borderId="70" xfId="0" applyFont="1" applyBorder="1" applyAlignment="1">
      <alignment vertical="center"/>
    </xf>
    <xf numFmtId="4" fontId="19" fillId="0" borderId="70" xfId="0" applyNumberFormat="1" applyFont="1" applyBorder="1" applyAlignment="1">
      <alignment horizontal="center" vertical="center"/>
    </xf>
    <xf numFmtId="0" fontId="19" fillId="0" borderId="8" xfId="0" applyFont="1" applyBorder="1" applyAlignment="1">
      <alignment vertical="center"/>
    </xf>
    <xf numFmtId="0" fontId="0" fillId="0" borderId="42" xfId="0" applyBorder="1" applyAlignment="1">
      <alignment vertical="center"/>
    </xf>
    <xf numFmtId="0" fontId="15" fillId="0" borderId="69" xfId="0" applyFont="1" applyBorder="1" applyAlignment="1">
      <alignment vertical="center"/>
    </xf>
    <xf numFmtId="0" fontId="19" fillId="0" borderId="70" xfId="0" applyFont="1" applyBorder="1" applyAlignment="1">
      <alignment vertical="center"/>
    </xf>
    <xf numFmtId="0" fontId="8" fillId="0" borderId="0" xfId="8" applyNumberFormat="1" applyFont="1" applyBorder="1" applyAlignment="1" applyProtection="1">
      <alignment vertical="center"/>
    </xf>
    <xf numFmtId="0" fontId="19" fillId="0" borderId="31" xfId="0" applyFont="1" applyBorder="1" applyAlignment="1">
      <alignment horizontal="right" vertical="center"/>
    </xf>
    <xf numFmtId="6" fontId="19" fillId="0" borderId="31" xfId="0" applyNumberFormat="1" applyFont="1" applyBorder="1" applyAlignment="1">
      <alignment horizontal="center" vertical="center"/>
    </xf>
    <xf numFmtId="4" fontId="27" fillId="0" borderId="69" xfId="0" applyNumberFormat="1" applyFont="1" applyBorder="1" applyAlignment="1">
      <alignment vertical="center"/>
    </xf>
    <xf numFmtId="0" fontId="19" fillId="0" borderId="4" xfId="0" applyFont="1" applyBorder="1" applyAlignment="1">
      <alignment vertical="center"/>
    </xf>
    <xf numFmtId="168" fontId="19" fillId="0" borderId="0" xfId="0" applyNumberFormat="1" applyFont="1" applyAlignment="1">
      <alignment horizontal="right" vertical="center"/>
    </xf>
    <xf numFmtId="0" fontId="53" fillId="0" borderId="0" xfId="0" applyFont="1" applyAlignment="1">
      <alignment vertical="center"/>
    </xf>
    <xf numFmtId="0" fontId="8" fillId="0" borderId="50" xfId="0" applyFont="1" applyBorder="1" applyAlignment="1">
      <alignment horizontal="right" vertical="center"/>
    </xf>
    <xf numFmtId="6" fontId="0" fillId="0" borderId="50" xfId="0" applyNumberFormat="1" applyBorder="1" applyAlignment="1">
      <alignment horizontal="center" vertical="center"/>
    </xf>
    <xf numFmtId="0" fontId="8" fillId="0" borderId="31" xfId="0" applyFont="1" applyBorder="1" applyAlignment="1">
      <alignment vertical="center"/>
    </xf>
    <xf numFmtId="0" fontId="15" fillId="0" borderId="3" xfId="0" applyFont="1" applyBorder="1" applyAlignment="1">
      <alignment vertical="center"/>
    </xf>
    <xf numFmtId="10" fontId="19" fillId="0" borderId="8" xfId="0" applyNumberFormat="1" applyFont="1" applyBorder="1" applyAlignment="1">
      <alignment vertical="center"/>
    </xf>
    <xf numFmtId="0" fontId="15" fillId="0" borderId="6" xfId="0" applyFont="1" applyBorder="1" applyAlignment="1">
      <alignment vertical="center"/>
    </xf>
    <xf numFmtId="0" fontId="19" fillId="0" borderId="6" xfId="0" applyFont="1" applyBorder="1" applyAlignment="1">
      <alignment vertical="center"/>
    </xf>
    <xf numFmtId="6" fontId="5" fillId="0" borderId="0" xfId="0" applyNumberFormat="1" applyFont="1" applyAlignment="1">
      <alignment vertical="center"/>
    </xf>
    <xf numFmtId="4" fontId="8" fillId="0" borderId="69" xfId="0" applyNumberFormat="1" applyFont="1" applyBorder="1" applyAlignment="1">
      <alignment horizontal="left" vertical="center"/>
    </xf>
    <xf numFmtId="4" fontId="34" fillId="0" borderId="0" xfId="0" applyNumberFormat="1" applyFont="1" applyAlignment="1">
      <alignment vertical="center"/>
    </xf>
    <xf numFmtId="4" fontId="34" fillId="0" borderId="70" xfId="0" applyNumberFormat="1" applyFont="1" applyBorder="1" applyAlignment="1">
      <alignment vertical="center"/>
    </xf>
    <xf numFmtId="0" fontId="8" fillId="0" borderId="0" xfId="0" applyFont="1" applyAlignment="1">
      <alignment horizontal="right" vertical="center" wrapText="1"/>
    </xf>
    <xf numFmtId="6" fontId="5" fillId="0" borderId="0" xfId="0" applyNumberFormat="1" applyFont="1" applyAlignment="1">
      <alignment horizontal="center" vertical="center" wrapText="1"/>
    </xf>
    <xf numFmtId="6" fontId="5" fillId="0" borderId="70" xfId="0" applyNumberFormat="1" applyFont="1" applyBorder="1" applyAlignment="1">
      <alignment horizontal="center" vertical="center" wrapText="1"/>
    </xf>
    <xf numFmtId="0" fontId="17" fillId="0" borderId="71" xfId="0" applyFont="1" applyBorder="1" applyAlignment="1">
      <alignment vertical="center"/>
    </xf>
    <xf numFmtId="0" fontId="17" fillId="0" borderId="54" xfId="0" applyFont="1" applyBorder="1" applyAlignment="1">
      <alignment vertical="center"/>
    </xf>
    <xf numFmtId="173" fontId="17" fillId="5" borderId="8" xfId="1" applyNumberFormat="1" applyFont="1" applyFill="1" applyBorder="1"/>
    <xf numFmtId="0" fontId="7" fillId="0" borderId="0" xfId="0" applyFont="1" applyAlignment="1">
      <alignment vertical="center"/>
    </xf>
    <xf numFmtId="0" fontId="12" fillId="0" borderId="69" xfId="0" applyFont="1" applyBorder="1"/>
    <xf numFmtId="0" fontId="19" fillId="0" borderId="0" xfId="0" applyFont="1" applyAlignment="1">
      <alignment horizontal="right"/>
    </xf>
    <xf numFmtId="5" fontId="19" fillId="0" borderId="0" xfId="0" applyNumberFormat="1" applyFont="1"/>
    <xf numFmtId="175" fontId="17" fillId="0" borderId="0" xfId="2" applyNumberFormat="1" applyFont="1" applyAlignment="1">
      <alignment horizontal="center"/>
    </xf>
    <xf numFmtId="175" fontId="17" fillId="0" borderId="0" xfId="0" applyNumberFormat="1" applyFont="1"/>
    <xf numFmtId="10" fontId="12" fillId="0" borderId="70" xfId="0" applyNumberFormat="1" applyFont="1" applyBorder="1"/>
    <xf numFmtId="0" fontId="7" fillId="0" borderId="0" xfId="0" applyFont="1" applyBorder="1"/>
    <xf numFmtId="0" fontId="17" fillId="11" borderId="72" xfId="0" applyFont="1" applyFill="1" applyBorder="1"/>
    <xf numFmtId="0" fontId="7" fillId="2" borderId="72" xfId="0" applyFont="1" applyFill="1" applyBorder="1"/>
    <xf numFmtId="0" fontId="5" fillId="0" borderId="0" xfId="6" applyFill="1" applyAlignment="1">
      <alignment horizontal="left"/>
    </xf>
    <xf numFmtId="0" fontId="5" fillId="0" borderId="0" xfId="6" applyFill="1"/>
    <xf numFmtId="0" fontId="19" fillId="0" borderId="0" xfId="15"/>
    <xf numFmtId="0" fontId="19" fillId="0" borderId="0" xfId="15" applyAlignment="1">
      <alignment horizontal="center"/>
    </xf>
    <xf numFmtId="0" fontId="19" fillId="0" borderId="0" xfId="15" applyAlignment="1">
      <alignment horizontal="left"/>
    </xf>
    <xf numFmtId="0" fontId="19" fillId="0" borderId="64" xfId="15" applyBorder="1"/>
    <xf numFmtId="170" fontId="2" fillId="0" borderId="0" xfId="16" applyNumberFormat="1" applyAlignment="1">
      <alignment horizontal="center"/>
    </xf>
    <xf numFmtId="170" fontId="19" fillId="0" borderId="0" xfId="15" applyNumberFormat="1"/>
    <xf numFmtId="0" fontId="19" fillId="0" borderId="73" xfId="15" applyBorder="1" applyAlignment="1">
      <alignment horizontal="left"/>
    </xf>
    <xf numFmtId="0" fontId="17" fillId="0" borderId="0" xfId="15" applyFont="1"/>
    <xf numFmtId="9" fontId="51" fillId="0" borderId="65" xfId="15" applyNumberFormat="1" applyFont="1" applyBorder="1" applyAlignment="1">
      <alignment horizontal="left"/>
    </xf>
    <xf numFmtId="0" fontId="19" fillId="0" borderId="64" xfId="15" applyBorder="1" applyAlignment="1">
      <alignment horizontal="left"/>
    </xf>
    <xf numFmtId="0" fontId="19" fillId="8" borderId="66" xfId="15" applyFill="1" applyBorder="1"/>
    <xf numFmtId="0" fontId="19" fillId="8" borderId="64" xfId="15" applyFill="1" applyBorder="1"/>
    <xf numFmtId="0" fontId="19" fillId="8" borderId="67" xfId="15" applyFill="1" applyBorder="1" applyAlignment="1">
      <alignment horizontal="center"/>
    </xf>
    <xf numFmtId="176" fontId="40" fillId="8" borderId="66" xfId="15" applyNumberFormat="1" applyFont="1" applyFill="1" applyBorder="1"/>
    <xf numFmtId="176" fontId="40" fillId="8" borderId="64" xfId="15" applyNumberFormat="1" applyFont="1" applyFill="1" applyBorder="1"/>
    <xf numFmtId="0" fontId="19" fillId="8" borderId="73" xfId="15" applyFill="1" applyBorder="1" applyAlignment="1">
      <alignment horizontal="center"/>
    </xf>
    <xf numFmtId="0" fontId="19" fillId="8" borderId="0" xfId="15" applyFill="1" applyAlignment="1">
      <alignment horizontal="center"/>
    </xf>
    <xf numFmtId="0" fontId="19" fillId="8" borderId="74" xfId="15" applyFill="1" applyBorder="1" applyAlignment="1">
      <alignment horizontal="center"/>
    </xf>
    <xf numFmtId="0" fontId="19" fillId="8" borderId="73" xfId="15" applyFill="1" applyBorder="1"/>
    <xf numFmtId="0" fontId="19" fillId="8" borderId="0" xfId="15" applyFill="1"/>
    <xf numFmtId="177" fontId="19" fillId="8" borderId="0" xfId="15" applyNumberFormat="1" applyFill="1" applyAlignment="1">
      <alignment horizontal="center"/>
    </xf>
    <xf numFmtId="177" fontId="19" fillId="0" borderId="0" xfId="15" applyNumberFormat="1" applyAlignment="1">
      <alignment horizontal="center"/>
    </xf>
    <xf numFmtId="170" fontId="2" fillId="0" borderId="0" xfId="17" applyNumberFormat="1" applyAlignment="1">
      <alignment horizontal="center"/>
    </xf>
    <xf numFmtId="3" fontId="19" fillId="0" borderId="0" xfId="15" applyNumberFormat="1" applyAlignment="1">
      <alignment horizontal="center"/>
    </xf>
    <xf numFmtId="6" fontId="19" fillId="0" borderId="0" xfId="15" applyNumberFormat="1"/>
    <xf numFmtId="3" fontId="19" fillId="0" borderId="0" xfId="15" applyNumberFormat="1"/>
    <xf numFmtId="14" fontId="19" fillId="0" borderId="0" xfId="15" applyNumberFormat="1"/>
    <xf numFmtId="0" fontId="49" fillId="0" borderId="0" xfId="15" applyFont="1"/>
    <xf numFmtId="0" fontId="19" fillId="4" borderId="76" xfId="5" applyFont="1" applyFill="1" applyBorder="1" applyAlignment="1">
      <alignment horizontal="center" wrapText="1"/>
    </xf>
    <xf numFmtId="6" fontId="19" fillId="0" borderId="44" xfId="0" applyNumberFormat="1" applyFont="1" applyFill="1" applyBorder="1" applyAlignment="1">
      <alignment horizontal="center" vertical="center"/>
    </xf>
    <xf numFmtId="6" fontId="19" fillId="0" borderId="0" xfId="0" applyNumberFormat="1" applyFont="1" applyBorder="1" applyAlignment="1">
      <alignment horizontal="center" vertical="center"/>
    </xf>
    <xf numFmtId="0" fontId="19" fillId="0" borderId="50" xfId="0" applyFont="1" applyBorder="1" applyAlignment="1">
      <alignment horizontal="right" vertical="center"/>
    </xf>
    <xf numFmtId="6" fontId="19" fillId="0" borderId="50" xfId="0" applyNumberFormat="1" applyFont="1" applyFill="1" applyBorder="1" applyAlignment="1">
      <alignment horizontal="center" vertical="center"/>
    </xf>
    <xf numFmtId="179" fontId="0" fillId="0" borderId="78" xfId="0" applyNumberFormat="1" applyBorder="1" applyAlignment="1">
      <alignment horizontal="right"/>
    </xf>
    <xf numFmtId="179" fontId="0" fillId="0" borderId="77" xfId="0" applyNumberFormat="1" applyBorder="1" applyAlignment="1">
      <alignment horizontal="right"/>
    </xf>
    <xf numFmtId="3" fontId="0" fillId="0" borderId="74" xfId="0" applyNumberFormat="1" applyBorder="1" applyAlignment="1">
      <alignment horizontal="right"/>
    </xf>
    <xf numFmtId="3" fontId="0" fillId="0" borderId="74" xfId="0" applyNumberFormat="1" applyBorder="1"/>
    <xf numFmtId="3" fontId="17" fillId="0" borderId="74" xfId="0" applyNumberFormat="1" applyFont="1" applyBorder="1"/>
    <xf numFmtId="0" fontId="17" fillId="0" borderId="0" xfId="0" applyFont="1" applyFill="1" applyAlignment="1">
      <alignment horizontal="right"/>
    </xf>
    <xf numFmtId="0" fontId="19" fillId="0" borderId="0" xfId="0" applyFont="1" applyFill="1" applyAlignment="1">
      <alignment horizontal="right"/>
    </xf>
    <xf numFmtId="3" fontId="19" fillId="0" borderId="0" xfId="0" applyNumberFormat="1" applyFont="1" applyAlignment="1">
      <alignment horizontal="right"/>
    </xf>
    <xf numFmtId="3" fontId="19" fillId="0" borderId="0" xfId="0" applyNumberFormat="1" applyFont="1" applyBorder="1" applyAlignment="1">
      <alignment horizontal="right"/>
    </xf>
    <xf numFmtId="3" fontId="19" fillId="0" borderId="73" xfId="0" applyNumberFormat="1" applyFont="1" applyBorder="1" applyAlignment="1">
      <alignment horizontal="right"/>
    </xf>
    <xf numFmtId="3" fontId="17" fillId="0" borderId="77" xfId="0" applyNumberFormat="1" applyFont="1" applyBorder="1"/>
    <xf numFmtId="0" fontId="0" fillId="0" borderId="73" xfId="0" applyBorder="1"/>
    <xf numFmtId="173" fontId="0" fillId="0" borderId="74" xfId="1" applyNumberFormat="1" applyFont="1" applyBorder="1"/>
    <xf numFmtId="0" fontId="19" fillId="0" borderId="73" xfId="0" applyFont="1" applyBorder="1"/>
    <xf numFmtId="0" fontId="26" fillId="0" borderId="0" xfId="0" applyFont="1" applyAlignment="1">
      <alignment horizontal="center"/>
    </xf>
    <xf numFmtId="3" fontId="17" fillId="0" borderId="0" xfId="0" applyNumberFormat="1" applyFont="1" applyBorder="1"/>
    <xf numFmtId="0" fontId="8" fillId="0" borderId="73" xfId="0" applyFont="1" applyBorder="1" applyAlignment="1">
      <alignment horizontal="right"/>
    </xf>
    <xf numFmtId="0" fontId="7" fillId="0" borderId="83" xfId="0" applyFont="1" applyBorder="1" applyAlignment="1">
      <alignment horizontal="right"/>
    </xf>
    <xf numFmtId="170" fontId="7" fillId="0" borderId="79" xfId="0" applyNumberFormat="1" applyFont="1" applyBorder="1"/>
    <xf numFmtId="10" fontId="7" fillId="0" borderId="78" xfId="0" applyNumberFormat="1" applyFont="1" applyBorder="1"/>
    <xf numFmtId="0" fontId="20" fillId="0" borderId="79" xfId="0" applyFont="1" applyBorder="1"/>
    <xf numFmtId="41" fontId="7" fillId="0" borderId="79" xfId="0" applyNumberFormat="1" applyFont="1" applyBorder="1" applyAlignment="1"/>
    <xf numFmtId="0" fontId="8" fillId="0" borderId="83" xfId="0" applyFont="1" applyBorder="1" applyAlignment="1">
      <alignment horizontal="right"/>
    </xf>
    <xf numFmtId="5" fontId="7" fillId="0" borderId="79" xfId="0" applyNumberFormat="1" applyFont="1" applyBorder="1"/>
    <xf numFmtId="0" fontId="36" fillId="0" borderId="79" xfId="0" applyFont="1" applyBorder="1" applyProtection="1">
      <protection locked="0"/>
    </xf>
    <xf numFmtId="10" fontId="22" fillId="0" borderId="78" xfId="0" applyNumberFormat="1" applyFont="1" applyBorder="1"/>
    <xf numFmtId="10" fontId="12" fillId="0" borderId="78" xfId="0" applyNumberFormat="1" applyFont="1" applyBorder="1"/>
    <xf numFmtId="41" fontId="7" fillId="0" borderId="79" xfId="0" applyNumberFormat="1" applyFont="1" applyBorder="1"/>
    <xf numFmtId="0" fontId="59" fillId="0" borderId="0" xfId="20" applyFont="1"/>
    <xf numFmtId="0" fontId="45" fillId="0" borderId="0" xfId="20" applyFont="1"/>
    <xf numFmtId="0" fontId="60" fillId="0" borderId="0" xfId="20" applyFont="1"/>
    <xf numFmtId="0" fontId="39" fillId="0" borderId="84" xfId="20" applyFont="1" applyBorder="1" applyAlignment="1">
      <alignment horizontal="center"/>
    </xf>
    <xf numFmtId="0" fontId="39" fillId="0" borderId="85" xfId="20" applyFont="1" applyBorder="1" applyAlignment="1">
      <alignment horizontal="center"/>
    </xf>
    <xf numFmtId="0" fontId="45" fillId="0" borderId="75" xfId="20" applyFont="1" applyBorder="1" applyAlignment="1">
      <alignment horizontal="right"/>
    </xf>
    <xf numFmtId="3" fontId="45" fillId="13" borderId="86" xfId="20" applyNumberFormat="1" applyFont="1" applyFill="1" applyBorder="1"/>
    <xf numFmtId="1" fontId="45" fillId="13" borderId="86" xfId="20" applyNumberFormat="1" applyFont="1" applyFill="1" applyBorder="1"/>
    <xf numFmtId="0" fontId="45" fillId="13" borderId="86" xfId="20" applyFont="1" applyFill="1" applyBorder="1"/>
    <xf numFmtId="0" fontId="45" fillId="13" borderId="87" xfId="20" applyFont="1" applyFill="1" applyBorder="1"/>
    <xf numFmtId="0" fontId="45" fillId="0" borderId="75" xfId="20" applyFont="1" applyBorder="1" applyAlignment="1">
      <alignment horizontal="right" wrapText="1"/>
    </xf>
    <xf numFmtId="3" fontId="45" fillId="13" borderId="87" xfId="20" applyNumberFormat="1" applyFont="1" applyFill="1" applyBorder="1"/>
    <xf numFmtId="0" fontId="45" fillId="0" borderId="75" xfId="20" applyFont="1" applyBorder="1" applyAlignment="1">
      <alignment horizontal="right" indent="2"/>
    </xf>
    <xf numFmtId="0" fontId="45" fillId="0" borderId="86" xfId="20" applyFont="1" applyBorder="1"/>
    <xf numFmtId="0" fontId="45" fillId="0" borderId="87" xfId="20" applyFont="1" applyBorder="1"/>
    <xf numFmtId="169" fontId="45" fillId="13" borderId="86" xfId="21" applyNumberFormat="1" applyFont="1" applyFill="1" applyBorder="1"/>
    <xf numFmtId="169" fontId="45" fillId="13" borderId="87" xfId="21" applyNumberFormat="1" applyFont="1" applyFill="1" applyBorder="1"/>
    <xf numFmtId="169" fontId="45" fillId="14" borderId="86" xfId="21" applyNumberFormat="1" applyFont="1" applyFill="1" applyBorder="1"/>
    <xf numFmtId="169" fontId="45" fillId="14" borderId="87" xfId="21" applyNumberFormat="1" applyFont="1" applyFill="1" applyBorder="1"/>
    <xf numFmtId="169" fontId="45" fillId="14" borderId="86" xfId="20" applyNumberFormat="1" applyFont="1" applyFill="1" applyBorder="1"/>
    <xf numFmtId="169" fontId="45" fillId="14" borderId="87" xfId="20" applyNumberFormat="1" applyFont="1" applyFill="1" applyBorder="1"/>
    <xf numFmtId="0" fontId="45" fillId="14" borderId="86" xfId="20" applyFont="1" applyFill="1" applyBorder="1"/>
    <xf numFmtId="10" fontId="45" fillId="13" borderId="86" xfId="8" applyNumberFormat="1" applyFont="1" applyFill="1" applyBorder="1"/>
    <xf numFmtId="44" fontId="45" fillId="13" borderId="86" xfId="21" applyFont="1" applyFill="1" applyBorder="1"/>
    <xf numFmtId="44" fontId="45" fillId="13" borderId="87" xfId="21" applyFont="1" applyFill="1" applyBorder="1"/>
    <xf numFmtId="0" fontId="39" fillId="0" borderId="75" xfId="20" applyFont="1" applyBorder="1" applyAlignment="1">
      <alignment horizontal="right"/>
    </xf>
    <xf numFmtId="169" fontId="39" fillId="14" borderId="86" xfId="21" applyNumberFormat="1" applyFont="1" applyFill="1" applyBorder="1"/>
    <xf numFmtId="169" fontId="39" fillId="14" borderId="87" xfId="21" applyNumberFormat="1" applyFont="1" applyFill="1" applyBorder="1"/>
    <xf numFmtId="0" fontId="45" fillId="0" borderId="75" xfId="20" applyFont="1" applyBorder="1"/>
    <xf numFmtId="0" fontId="39" fillId="0" borderId="88" xfId="20" applyFont="1" applyBorder="1" applyAlignment="1">
      <alignment horizontal="right"/>
    </xf>
    <xf numFmtId="44" fontId="61" fillId="0" borderId="89" xfId="21" applyFont="1" applyBorder="1"/>
    <xf numFmtId="44" fontId="1" fillId="0" borderId="89" xfId="21" applyFont="1" applyBorder="1"/>
    <xf numFmtId="44" fontId="1" fillId="0" borderId="90" xfId="21" applyFont="1" applyBorder="1"/>
    <xf numFmtId="49" fontId="19" fillId="0" borderId="0" xfId="20" applyNumberFormat="1" applyFont="1"/>
    <xf numFmtId="0" fontId="19" fillId="0" borderId="0" xfId="20" applyFont="1"/>
    <xf numFmtId="49" fontId="45" fillId="0" borderId="0" xfId="20" applyNumberFormat="1" applyFont="1"/>
    <xf numFmtId="0" fontId="19" fillId="0" borderId="0" xfId="0" applyFont="1" applyAlignment="1">
      <alignment horizontal="left" wrapText="1" indent="2"/>
    </xf>
    <xf numFmtId="0" fontId="0" fillId="0" borderId="0" xfId="0" applyAlignment="1">
      <alignment horizontal="left" wrapText="1" indent="2"/>
    </xf>
    <xf numFmtId="0" fontId="36" fillId="0" borderId="0" xfId="6" applyFont="1" applyAlignment="1">
      <alignment horizontal="left" wrapText="1"/>
    </xf>
    <xf numFmtId="0" fontId="5" fillId="0" borderId="0" xfId="6" applyAlignment="1">
      <alignment wrapText="1"/>
    </xf>
    <xf numFmtId="0" fontId="37" fillId="0" borderId="0" xfId="6" applyFont="1"/>
    <xf numFmtId="0" fontId="36" fillId="0" borderId="0" xfId="6" applyFont="1"/>
    <xf numFmtId="0" fontId="5" fillId="0" borderId="0" xfId="6"/>
    <xf numFmtId="0" fontId="36" fillId="0" borderId="0" xfId="6" applyFont="1" applyAlignment="1">
      <alignment horizontal="left" indent="1"/>
    </xf>
    <xf numFmtId="0" fontId="19" fillId="0" borderId="0" xfId="0" applyFont="1" applyAlignment="1">
      <alignment horizontal="left" wrapText="1" indent="2"/>
    </xf>
    <xf numFmtId="0" fontId="0" fillId="0" borderId="0" xfId="0" applyAlignment="1">
      <alignment horizontal="left" wrapText="1" indent="2"/>
    </xf>
    <xf numFmtId="0" fontId="19" fillId="0" borderId="0" xfId="0" applyFont="1" applyAlignment="1">
      <alignment horizontal="center" vertical="center"/>
    </xf>
    <xf numFmtId="0" fontId="19" fillId="0" borderId="42" xfId="0" applyFont="1" applyBorder="1" applyAlignment="1">
      <alignment horizontal="center" vertical="center"/>
    </xf>
    <xf numFmtId="4" fontId="34" fillId="0" borderId="0" xfId="0" applyNumberFormat="1" applyFont="1" applyAlignment="1">
      <alignment horizontal="center" vertical="center"/>
    </xf>
    <xf numFmtId="4" fontId="34" fillId="0" borderId="70" xfId="0" applyNumberFormat="1" applyFont="1" applyBorder="1" applyAlignment="1">
      <alignment horizontal="center" vertical="center"/>
    </xf>
    <xf numFmtId="6" fontId="34" fillId="0" borderId="0" xfId="0" applyNumberFormat="1" applyFont="1" applyAlignment="1">
      <alignment horizontal="center" vertical="center"/>
    </xf>
    <xf numFmtId="6" fontId="34" fillId="0" borderId="70" xfId="0" applyNumberFormat="1" applyFont="1" applyBorder="1" applyAlignment="1">
      <alignment horizontal="center" vertical="center"/>
    </xf>
    <xf numFmtId="0" fontId="0" fillId="0" borderId="0" xfId="0" applyAlignment="1">
      <alignment horizontal="center" vertical="center"/>
    </xf>
    <xf numFmtId="0" fontId="14" fillId="0" borderId="24" xfId="0" applyFont="1" applyBorder="1" applyAlignment="1">
      <alignment horizontal="left" vertical="center"/>
    </xf>
    <xf numFmtId="0" fontId="14" fillId="0" borderId="25" xfId="0" applyFont="1" applyBorder="1" applyAlignment="1">
      <alignment horizontal="left" vertical="center"/>
    </xf>
    <xf numFmtId="0" fontId="14" fillId="0" borderId="26" xfId="0" applyFont="1" applyBorder="1" applyAlignment="1">
      <alignment horizontal="left" vertical="center"/>
    </xf>
    <xf numFmtId="0" fontId="5" fillId="0" borderId="31" xfId="0" applyFont="1" applyBorder="1" applyAlignment="1">
      <alignment horizontal="left" vertical="center" wrapText="1"/>
    </xf>
    <xf numFmtId="0" fontId="5" fillId="0" borderId="42" xfId="0" applyFont="1" applyBorder="1" applyAlignment="1">
      <alignment horizontal="left" vertical="center" wrapText="1"/>
    </xf>
    <xf numFmtId="0" fontId="5" fillId="0" borderId="32" xfId="0" applyFont="1" applyBorder="1" applyAlignment="1">
      <alignment horizontal="left" vertical="center"/>
    </xf>
    <xf numFmtId="0" fontId="5" fillId="0" borderId="44" xfId="0" applyFont="1" applyBorder="1" applyAlignment="1">
      <alignment horizontal="left" vertical="center"/>
    </xf>
    <xf numFmtId="0" fontId="36" fillId="0" borderId="0" xfId="6" applyFont="1" applyAlignment="1">
      <alignment horizontal="left" wrapText="1"/>
    </xf>
    <xf numFmtId="0" fontId="5" fillId="0" borderId="0" xfId="6" applyAlignment="1">
      <alignment wrapText="1"/>
    </xf>
    <xf numFmtId="0" fontId="45" fillId="0" borderId="0" xfId="20" applyFont="1" applyAlignment="1">
      <alignment horizontal="left" wrapText="1"/>
    </xf>
    <xf numFmtId="0" fontId="19" fillId="8" borderId="65" xfId="15" applyFill="1" applyBorder="1" applyAlignment="1">
      <alignment horizontal="center" vertical="center" wrapText="1"/>
    </xf>
    <xf numFmtId="0" fontId="19" fillId="8" borderId="75" xfId="15" applyFill="1" applyBorder="1" applyAlignment="1">
      <alignment horizontal="center" vertical="center" wrapText="1"/>
    </xf>
    <xf numFmtId="0" fontId="0" fillId="8" borderId="65" xfId="5" applyFont="1" applyFill="1" applyBorder="1" applyAlignment="1">
      <alignment horizontal="center" vertical="center" wrapText="1"/>
    </xf>
    <xf numFmtId="0" fontId="19" fillId="8" borderId="75" xfId="5" applyFont="1" applyFill="1" applyBorder="1" applyAlignment="1">
      <alignment horizontal="center" vertical="center" wrapText="1"/>
    </xf>
    <xf numFmtId="177" fontId="19" fillId="8" borderId="65" xfId="15" applyNumberFormat="1" applyFill="1" applyBorder="1" applyAlignment="1">
      <alignment horizontal="center" vertical="center" wrapText="1"/>
    </xf>
    <xf numFmtId="177" fontId="19" fillId="8" borderId="75" xfId="15" applyNumberFormat="1" applyFill="1" applyBorder="1" applyAlignment="1">
      <alignment horizontal="center" vertical="center" wrapText="1"/>
    </xf>
    <xf numFmtId="9" fontId="40" fillId="12" borderId="0" xfId="8" applyFont="1" applyFill="1" applyBorder="1" applyAlignment="1">
      <alignment horizontal="center"/>
    </xf>
    <xf numFmtId="0" fontId="19" fillId="0" borderId="64" xfId="15" applyBorder="1" applyAlignment="1">
      <alignment horizontal="center" wrapText="1"/>
    </xf>
    <xf numFmtId="0" fontId="17" fillId="12" borderId="0" xfId="15" applyFont="1" applyFill="1" applyAlignment="1">
      <alignment horizontal="center"/>
    </xf>
    <xf numFmtId="0" fontId="36" fillId="0" borderId="0" xfId="6" applyFont="1" applyAlignment="1">
      <alignment horizontal="left" indent="1"/>
    </xf>
    <xf numFmtId="173" fontId="8" fillId="0" borderId="72" xfId="1" applyNumberFormat="1" applyFont="1" applyFill="1" applyBorder="1" applyAlignment="1" applyProtection="1">
      <alignment horizontal="right"/>
    </xf>
    <xf numFmtId="0" fontId="5" fillId="0" borderId="0" xfId="0" applyFont="1" applyProtection="1">
      <protection locked="0"/>
    </xf>
    <xf numFmtId="0" fontId="5" fillId="0" borderId="9" xfId="0" applyFont="1" applyBorder="1" applyProtection="1">
      <protection locked="0"/>
    </xf>
    <xf numFmtId="0" fontId="5" fillId="0" borderId="0" xfId="0" applyFont="1" applyAlignment="1" applyProtection="1">
      <alignment horizontal="right"/>
      <protection locked="0"/>
    </xf>
    <xf numFmtId="0" fontId="8" fillId="0" borderId="69" xfId="0" applyFont="1" applyBorder="1" applyAlignment="1">
      <alignment horizontal="right" indent="1"/>
    </xf>
    <xf numFmtId="5" fontId="5" fillId="0" borderId="0" xfId="0" applyNumberFormat="1" applyFont="1" applyProtection="1">
      <protection locked="0"/>
    </xf>
    <xf numFmtId="41" fontId="8" fillId="0" borderId="0" xfId="0" applyNumberFormat="1" applyFont="1"/>
    <xf numFmtId="0" fontId="8" fillId="0" borderId="83" xfId="0" applyFont="1" applyBorder="1" applyAlignment="1">
      <alignment horizontal="right" indent="1"/>
    </xf>
    <xf numFmtId="5" fontId="8" fillId="0" borderId="79" xfId="0" applyNumberFormat="1" applyFont="1" applyBorder="1"/>
    <xf numFmtId="5" fontId="5" fillId="0" borderId="79" xfId="0" applyNumberFormat="1" applyFont="1" applyBorder="1" applyProtection="1">
      <protection locked="0"/>
    </xf>
    <xf numFmtId="5" fontId="5" fillId="0" borderId="9" xfId="0" applyNumberFormat="1" applyFont="1" applyBorder="1" applyProtection="1">
      <protection locked="0"/>
    </xf>
    <xf numFmtId="0" fontId="8" fillId="0" borderId="69" xfId="0" applyFont="1" applyBorder="1"/>
    <xf numFmtId="5" fontId="8" fillId="0" borderId="0" xfId="0" applyNumberFormat="1" applyFont="1" applyAlignment="1">
      <alignment horizontal="right"/>
    </xf>
    <xf numFmtId="10" fontId="8" fillId="0" borderId="69" xfId="0" applyNumberFormat="1" applyFont="1" applyBorder="1"/>
    <xf numFmtId="0" fontId="13" fillId="0" borderId="69" xfId="0" applyFont="1" applyBorder="1" applyProtection="1">
      <protection locked="0"/>
    </xf>
    <xf numFmtId="37" fontId="8" fillId="0" borderId="0" xfId="0" applyNumberFormat="1" applyFont="1" applyAlignment="1">
      <alignment horizontal="fill"/>
    </xf>
    <xf numFmtId="10" fontId="12" fillId="0" borderId="70" xfId="0" applyNumberFormat="1" applyFont="1" applyBorder="1" applyAlignment="1" applyProtection="1">
      <alignment horizontal="fill"/>
      <protection locked="0"/>
    </xf>
    <xf numFmtId="5" fontId="8" fillId="0" borderId="8" xfId="0" applyNumberFormat="1" applyFont="1" applyBorder="1"/>
    <xf numFmtId="5" fontId="5" fillId="0" borderId="8" xfId="0" applyNumberFormat="1" applyFont="1" applyBorder="1" applyProtection="1">
      <protection locked="0"/>
    </xf>
    <xf numFmtId="170" fontId="19" fillId="0" borderId="0" xfId="0" applyNumberFormat="1" applyFont="1"/>
    <xf numFmtId="170" fontId="8" fillId="0" borderId="0" xfId="0" applyNumberFormat="1" applyFont="1" applyAlignment="1">
      <alignment horizontal="centerContinuous"/>
    </xf>
    <xf numFmtId="37" fontId="19" fillId="0" borderId="0" xfId="0" applyNumberFormat="1" applyFont="1"/>
    <xf numFmtId="170" fontId="8" fillId="0" borderId="0" xfId="0" applyNumberFormat="1" applyFont="1" applyAlignment="1">
      <alignment horizontal="center"/>
    </xf>
    <xf numFmtId="0" fontId="8" fillId="0" borderId="70" xfId="0" applyFont="1" applyBorder="1"/>
    <xf numFmtId="41" fontId="8" fillId="0" borderId="2" xfId="0" applyNumberFormat="1" applyFont="1" applyBorder="1"/>
    <xf numFmtId="0" fontId="8" fillId="0" borderId="42" xfId="0" applyFont="1" applyBorder="1"/>
    <xf numFmtId="0" fontId="20" fillId="0" borderId="69" xfId="0" applyFont="1" applyBorder="1"/>
    <xf numFmtId="0" fontId="20" fillId="0" borderId="70" xfId="0" applyFont="1" applyBorder="1"/>
    <xf numFmtId="0" fontId="8" fillId="0" borderId="27" xfId="0" applyFont="1" applyBorder="1" applyAlignment="1">
      <alignment horizontal="left" indent="1"/>
    </xf>
    <xf numFmtId="173" fontId="8" fillId="0" borderId="69" xfId="1" applyNumberFormat="1" applyFont="1" applyBorder="1" applyProtection="1"/>
    <xf numFmtId="41" fontId="19" fillId="2" borderId="60" xfId="0" applyNumberFormat="1" applyFont="1" applyFill="1" applyBorder="1"/>
    <xf numFmtId="41" fontId="19" fillId="0" borderId="0" xfId="0" applyNumberFormat="1" applyFont="1"/>
    <xf numFmtId="0" fontId="8" fillId="0" borderId="31" xfId="0" applyFont="1" applyBorder="1" applyAlignment="1">
      <alignment horizontal="left" indent="1"/>
    </xf>
    <xf numFmtId="0" fontId="19" fillId="0" borderId="27" xfId="0" applyFont="1" applyBorder="1" applyAlignment="1">
      <alignment horizontal="left" indent="1"/>
    </xf>
    <xf numFmtId="5" fontId="8" fillId="0" borderId="69" xfId="0" applyNumberFormat="1" applyFont="1" applyBorder="1"/>
    <xf numFmtId="0" fontId="8" fillId="0" borderId="31" xfId="0" applyFont="1" applyBorder="1"/>
    <xf numFmtId="9" fontId="19" fillId="2" borderId="0" xfId="7" applyFont="1" applyFill="1" applyBorder="1"/>
    <xf numFmtId="10" fontId="8" fillId="0" borderId="70" xfId="0" applyNumberFormat="1" applyFont="1" applyBorder="1"/>
    <xf numFmtId="5" fontId="8" fillId="0" borderId="42" xfId="0" applyNumberFormat="1" applyFont="1" applyBorder="1"/>
    <xf numFmtId="41" fontId="19" fillId="2" borderId="0" xfId="0" applyNumberFormat="1" applyFont="1" applyFill="1"/>
    <xf numFmtId="41" fontId="8" fillId="0" borderId="69" xfId="0" applyNumberFormat="1" applyFont="1" applyBorder="1"/>
    <xf numFmtId="3" fontId="8" fillId="0" borderId="70" xfId="0" applyNumberFormat="1" applyFont="1" applyBorder="1"/>
    <xf numFmtId="173" fontId="8" fillId="0" borderId="69" xfId="0" applyNumberFormat="1" applyFont="1" applyBorder="1"/>
    <xf numFmtId="10" fontId="8" fillId="0" borderId="69" xfId="7" applyNumberFormat="1" applyFont="1" applyBorder="1" applyProtection="1"/>
    <xf numFmtId="168" fontId="8" fillId="0" borderId="0" xfId="0" applyNumberFormat="1" applyFont="1"/>
    <xf numFmtId="39" fontId="8" fillId="0" borderId="0" xfId="0" applyNumberFormat="1" applyFont="1" applyAlignment="1">
      <alignment horizontal="center"/>
    </xf>
    <xf numFmtId="0" fontId="10" fillId="0" borderId="69" xfId="0" applyFont="1" applyBorder="1"/>
    <xf numFmtId="0" fontId="10" fillId="0" borderId="70" xfId="0" applyFont="1" applyBorder="1"/>
    <xf numFmtId="5" fontId="21" fillId="0" borderId="69" xfId="0" applyNumberFormat="1" applyFont="1" applyBorder="1"/>
    <xf numFmtId="10" fontId="8" fillId="2" borderId="69" xfId="0" applyNumberFormat="1" applyFont="1" applyFill="1" applyBorder="1"/>
    <xf numFmtId="0" fontId="12" fillId="0" borderId="70" xfId="0" applyFont="1" applyBorder="1"/>
    <xf numFmtId="5" fontId="12" fillId="0" borderId="69" xfId="0" applyNumberFormat="1" applyFont="1" applyBorder="1"/>
    <xf numFmtId="41" fontId="19" fillId="2" borderId="70" xfId="0" applyNumberFormat="1" applyFont="1" applyFill="1" applyBorder="1"/>
    <xf numFmtId="41" fontId="8" fillId="2" borderId="0" xfId="0" applyNumberFormat="1" applyFont="1" applyFill="1"/>
    <xf numFmtId="175" fontId="8" fillId="0" borderId="69" xfId="0" applyNumberFormat="1" applyFont="1" applyBorder="1"/>
    <xf numFmtId="0" fontId="19" fillId="0" borderId="27" xfId="0" applyFont="1" applyBorder="1"/>
    <xf numFmtId="2" fontId="8" fillId="0" borderId="69" xfId="0" applyNumberFormat="1" applyFont="1" applyBorder="1"/>
    <xf numFmtId="41" fontId="8" fillId="0" borderId="70" xfId="0" applyNumberFormat="1" applyFont="1" applyBorder="1"/>
    <xf numFmtId="41" fontId="20" fillId="0" borderId="70" xfId="0" applyNumberFormat="1" applyFont="1" applyBorder="1"/>
    <xf numFmtId="5" fontId="19" fillId="0" borderId="70" xfId="0" applyNumberFormat="1" applyFont="1" applyBorder="1"/>
    <xf numFmtId="10" fontId="8" fillId="0" borderId="42" xfId="0" applyNumberFormat="1" applyFont="1" applyBorder="1"/>
    <xf numFmtId="41" fontId="19" fillId="2" borderId="27" xfId="0" applyNumberFormat="1" applyFont="1" applyFill="1" applyBorder="1"/>
    <xf numFmtId="41" fontId="8" fillId="2" borderId="27" xfId="0" applyNumberFormat="1" applyFont="1" applyFill="1" applyBorder="1"/>
    <xf numFmtId="168" fontId="8" fillId="0" borderId="69" xfId="7" applyNumberFormat="1" applyFont="1" applyBorder="1" applyProtection="1"/>
    <xf numFmtId="43" fontId="8" fillId="0" borderId="69" xfId="0" applyNumberFormat="1" applyFont="1" applyBorder="1"/>
    <xf numFmtId="173" fontId="8" fillId="0" borderId="0" xfId="1" applyNumberFormat="1" applyFont="1" applyBorder="1" applyProtection="1"/>
    <xf numFmtId="41" fontId="19" fillId="2" borderId="27" xfId="0" applyNumberFormat="1" applyFont="1" applyFill="1" applyBorder="1" applyAlignment="1">
      <alignment horizontal="right"/>
    </xf>
    <xf numFmtId="41" fontId="19" fillId="0" borderId="2" xfId="0" applyNumberFormat="1" applyFont="1" applyBorder="1"/>
    <xf numFmtId="41" fontId="19" fillId="2" borderId="2" xfId="0" applyNumberFormat="1" applyFont="1" applyFill="1" applyBorder="1"/>
    <xf numFmtId="41" fontId="8" fillId="2" borderId="69" xfId="0" applyNumberFormat="1" applyFont="1" applyFill="1" applyBorder="1"/>
    <xf numFmtId="5" fontId="8" fillId="0" borderId="70" xfId="0" quotePrefix="1" applyNumberFormat="1" applyFont="1" applyBorder="1"/>
    <xf numFmtId="0" fontId="19" fillId="2" borderId="2" xfId="0" applyFont="1" applyFill="1" applyBorder="1"/>
    <xf numFmtId="9" fontId="8" fillId="0" borderId="69" xfId="0" applyNumberFormat="1" applyFont="1" applyBorder="1"/>
    <xf numFmtId="168" fontId="12" fillId="0" borderId="69" xfId="0" applyNumberFormat="1" applyFont="1" applyBorder="1"/>
    <xf numFmtId="10" fontId="7" fillId="0" borderId="69" xfId="0" applyNumberFormat="1" applyFont="1" applyBorder="1"/>
    <xf numFmtId="0" fontId="7" fillId="0" borderId="70" xfId="0" applyFont="1" applyBorder="1"/>
    <xf numFmtId="10" fontId="19" fillId="0" borderId="69" xfId="0" applyNumberFormat="1" applyFont="1" applyBorder="1"/>
    <xf numFmtId="173" fontId="19" fillId="0" borderId="0" xfId="1" applyNumberFormat="1" applyFont="1"/>
    <xf numFmtId="0" fontId="8" fillId="0" borderId="56" xfId="0" applyFont="1" applyBorder="1"/>
    <xf numFmtId="0" fontId="8" fillId="0" borderId="57" xfId="0" applyFont="1" applyBorder="1"/>
    <xf numFmtId="5" fontId="8" fillId="0" borderId="56" xfId="0" applyNumberFormat="1" applyFont="1" applyBorder="1"/>
    <xf numFmtId="5" fontId="8" fillId="0" borderId="44" xfId="0" applyNumberFormat="1" applyFont="1" applyBorder="1"/>
    <xf numFmtId="10" fontId="8" fillId="0" borderId="0" xfId="7" applyNumberFormat="1" applyFont="1" applyProtection="1"/>
    <xf numFmtId="0" fontId="8" fillId="0" borderId="80" xfId="0" applyFont="1" applyBorder="1" applyAlignment="1">
      <alignment horizontal="right"/>
    </xf>
    <xf numFmtId="0" fontId="8" fillId="0" borderId="81" xfId="0" applyFont="1" applyBorder="1"/>
    <xf numFmtId="173" fontId="8" fillId="0" borderId="81" xfId="1" applyNumberFormat="1" applyFont="1" applyBorder="1" applyProtection="1"/>
    <xf numFmtId="0" fontId="19" fillId="2" borderId="81" xfId="0" applyFont="1" applyFill="1" applyBorder="1"/>
    <xf numFmtId="10" fontId="8" fillId="0" borderId="82" xfId="0" applyNumberFormat="1" applyFont="1" applyBorder="1"/>
    <xf numFmtId="0" fontId="8" fillId="0" borderId="0" xfId="0" applyFont="1" applyBorder="1"/>
    <xf numFmtId="41" fontId="8" fillId="0" borderId="0" xfId="0" applyNumberFormat="1" applyFont="1" applyFill="1" applyBorder="1"/>
    <xf numFmtId="10" fontId="8" fillId="0" borderId="74" xfId="0" applyNumberFormat="1" applyFont="1" applyBorder="1"/>
    <xf numFmtId="0" fontId="19" fillId="0" borderId="0" xfId="0" applyFont="1" applyBorder="1"/>
    <xf numFmtId="173" fontId="19" fillId="0" borderId="0" xfId="1" applyNumberFormat="1" applyFont="1" applyBorder="1"/>
    <xf numFmtId="170" fontId="19" fillId="2" borderId="0" xfId="0" applyNumberFormat="1" applyFont="1" applyFill="1" applyBorder="1"/>
    <xf numFmtId="170" fontId="19" fillId="0" borderId="0" xfId="0" applyNumberFormat="1" applyFont="1" applyFill="1" applyBorder="1"/>
    <xf numFmtId="41" fontId="19" fillId="2" borderId="0" xfId="0" applyNumberFormat="1" applyFont="1" applyFill="1" applyBorder="1"/>
    <xf numFmtId="0" fontId="19" fillId="0" borderId="79" xfId="0" applyFont="1" applyBorder="1"/>
    <xf numFmtId="173" fontId="19" fillId="0" borderId="79" xfId="1" applyNumberFormat="1" applyFont="1" applyBorder="1"/>
    <xf numFmtId="170" fontId="19" fillId="0" borderId="79" xfId="0" applyNumberFormat="1" applyFont="1" applyFill="1" applyBorder="1"/>
    <xf numFmtId="10" fontId="8" fillId="0" borderId="78" xfId="0" applyNumberFormat="1" applyFont="1" applyBorder="1"/>
    <xf numFmtId="41" fontId="8" fillId="0" borderId="81" xfId="0" applyNumberFormat="1" applyFont="1" applyBorder="1" applyAlignment="1"/>
    <xf numFmtId="41" fontId="8" fillId="0" borderId="0" xfId="0" applyNumberFormat="1" applyFont="1" applyBorder="1" applyAlignment="1">
      <alignment horizontal="right"/>
    </xf>
    <xf numFmtId="0" fontId="5" fillId="0" borderId="0" xfId="0" applyFont="1"/>
    <xf numFmtId="0" fontId="8" fillId="0" borderId="79" xfId="0" applyFont="1" applyBorder="1"/>
    <xf numFmtId="173" fontId="8" fillId="0" borderId="79" xfId="1" applyNumberFormat="1" applyFont="1" applyBorder="1" applyProtection="1"/>
    <xf numFmtId="10" fontId="19" fillId="0" borderId="0" xfId="0" applyNumberFormat="1" applyFont="1"/>
    <xf numFmtId="0" fontId="19" fillId="2" borderId="77" xfId="0" applyFont="1" applyFill="1" applyBorder="1"/>
    <xf numFmtId="2" fontId="19" fillId="0" borderId="0" xfId="0" applyNumberFormat="1" applyFont="1"/>
    <xf numFmtId="5" fontId="19" fillId="0" borderId="0" xfId="0" quotePrefix="1" applyNumberFormat="1" applyFont="1"/>
    <xf numFmtId="0" fontId="19" fillId="0" borderId="77" xfId="15" applyBorder="1"/>
    <xf numFmtId="10" fontId="19" fillId="11" borderId="77" xfId="15" applyNumberFormat="1" applyFill="1" applyBorder="1"/>
    <xf numFmtId="10" fontId="19" fillId="11" borderId="77" xfId="0" applyNumberFormat="1" applyFont="1" applyFill="1" applyBorder="1"/>
    <xf numFmtId="10" fontId="19" fillId="2" borderId="77" xfId="0" applyNumberFormat="1" applyFont="1" applyFill="1" applyBorder="1"/>
    <xf numFmtId="10" fontId="19" fillId="0" borderId="77" xfId="0" applyNumberFormat="1" applyFont="1" applyBorder="1"/>
    <xf numFmtId="9" fontId="19" fillId="11" borderId="77" xfId="15" applyNumberFormat="1" applyFill="1" applyBorder="1"/>
    <xf numFmtId="5" fontId="19" fillId="0" borderId="0" xfId="0" applyNumberFormat="1" applyFont="1" applyProtection="1">
      <protection hidden="1"/>
    </xf>
    <xf numFmtId="0" fontId="19" fillId="0" borderId="0" xfId="0" applyFont="1" applyProtection="1">
      <protection hidden="1"/>
    </xf>
    <xf numFmtId="0" fontId="19" fillId="0" borderId="0" xfId="0" applyFont="1" applyAlignment="1" applyProtection="1">
      <alignment horizontal="right"/>
      <protection hidden="1"/>
    </xf>
    <xf numFmtId="10" fontId="19" fillId="2" borderId="77" xfId="0" applyNumberFormat="1" applyFont="1" applyFill="1" applyBorder="1" applyProtection="1">
      <protection hidden="1"/>
    </xf>
    <xf numFmtId="49" fontId="19" fillId="0" borderId="0" xfId="0" quotePrefix="1" applyNumberFormat="1" applyFont="1" applyAlignment="1" applyProtection="1">
      <alignment horizontal="right"/>
      <protection hidden="1"/>
    </xf>
    <xf numFmtId="10" fontId="19" fillId="0" borderId="0" xfId="0" applyNumberFormat="1" applyFont="1" applyProtection="1">
      <protection hidden="1"/>
    </xf>
    <xf numFmtId="175" fontId="19" fillId="0" borderId="0" xfId="0" applyNumberFormat="1" applyFont="1"/>
    <xf numFmtId="9" fontId="19" fillId="0" borderId="0" xfId="0" applyNumberFormat="1" applyFont="1" applyAlignment="1">
      <alignment horizontal="center"/>
    </xf>
    <xf numFmtId="171" fontId="19" fillId="0" borderId="0" xfId="0" applyNumberFormat="1" applyFont="1" applyAlignment="1">
      <alignment horizontal="center"/>
    </xf>
    <xf numFmtId="7" fontId="19" fillId="0" borderId="0" xfId="0" applyNumberFormat="1" applyFont="1"/>
    <xf numFmtId="175" fontId="19" fillId="0" borderId="0" xfId="2" applyNumberFormat="1" applyFont="1"/>
    <xf numFmtId="0" fontId="19" fillId="0" borderId="5" xfId="0" applyFont="1" applyBorder="1"/>
    <xf numFmtId="5" fontId="19" fillId="0" borderId="5" xfId="0" applyNumberFormat="1" applyFont="1" applyBorder="1"/>
    <xf numFmtId="10" fontId="19" fillId="2" borderId="77" xfId="2" applyNumberFormat="1" applyFont="1" applyFill="1" applyBorder="1"/>
    <xf numFmtId="0" fontId="19" fillId="0" borderId="0" xfId="0" applyFont="1" applyAlignment="1">
      <alignment horizontal="right" wrapText="1"/>
    </xf>
    <xf numFmtId="9" fontId="19" fillId="0" borderId="0" xfId="0" applyNumberFormat="1" applyFont="1"/>
    <xf numFmtId="10" fontId="19" fillId="0" borderId="0" xfId="7" applyNumberFormat="1" applyFont="1" applyBorder="1" applyProtection="1"/>
    <xf numFmtId="173" fontId="19" fillId="0" borderId="0" xfId="1" applyNumberFormat="1" applyFont="1" applyFill="1"/>
    <xf numFmtId="9" fontId="19" fillId="0" borderId="0" xfId="7" applyFont="1" applyBorder="1"/>
    <xf numFmtId="10" fontId="19" fillId="0" borderId="0" xfId="7" applyNumberFormat="1" applyFont="1" applyBorder="1"/>
    <xf numFmtId="44" fontId="19" fillId="0" borderId="0" xfId="2" applyFont="1" applyBorder="1"/>
    <xf numFmtId="168" fontId="19" fillId="0" borderId="0" xfId="7" applyNumberFormat="1" applyFont="1"/>
    <xf numFmtId="44" fontId="19" fillId="0" borderId="0" xfId="2" applyFont="1"/>
    <xf numFmtId="44" fontId="19" fillId="0" borderId="0" xfId="0" applyNumberFormat="1" applyFont="1"/>
    <xf numFmtId="0" fontId="19" fillId="0" borderId="9" xfId="0" applyFont="1" applyBorder="1"/>
    <xf numFmtId="0" fontId="19" fillId="0" borderId="10" xfId="0" applyFont="1" applyBorder="1"/>
    <xf numFmtId="10" fontId="5" fillId="0" borderId="69" xfId="0" applyNumberFormat="1" applyFont="1" applyBorder="1"/>
    <xf numFmtId="3" fontId="19" fillId="2" borderId="14" xfId="0" applyNumberFormat="1" applyFont="1" applyFill="1" applyBorder="1" applyAlignment="1">
      <alignment horizontal="center"/>
    </xf>
    <xf numFmtId="9" fontId="19" fillId="0" borderId="45" xfId="0" applyNumberFormat="1" applyFont="1" applyBorder="1" applyAlignment="1">
      <alignment horizontal="center"/>
    </xf>
    <xf numFmtId="3" fontId="45" fillId="0" borderId="78" xfId="0" applyNumberFormat="1" applyFont="1" applyBorder="1" applyAlignment="1">
      <alignment horizontal="center"/>
    </xf>
    <xf numFmtId="0" fontId="19" fillId="0" borderId="70" xfId="0" applyFont="1" applyBorder="1"/>
    <xf numFmtId="9" fontId="19" fillId="2" borderId="45" xfId="0" applyNumberFormat="1" applyFont="1" applyFill="1" applyBorder="1" applyAlignment="1">
      <alignment horizontal="center"/>
    </xf>
    <xf numFmtId="170" fontId="8" fillId="0" borderId="69" xfId="0" applyNumberFormat="1" applyFont="1" applyBorder="1" applyAlignment="1">
      <alignment horizontal="centerContinuous"/>
    </xf>
    <xf numFmtId="0" fontId="7" fillId="0" borderId="69" xfId="0" applyFont="1" applyBorder="1" applyAlignment="1">
      <alignment horizontal="left"/>
    </xf>
    <xf numFmtId="0" fontId="8" fillId="0" borderId="8" xfId="0" applyFont="1" applyBorder="1" applyAlignment="1">
      <alignment horizontal="centerContinuous"/>
    </xf>
    <xf numFmtId="170" fontId="8" fillId="0" borderId="8" xfId="0" applyNumberFormat="1" applyFont="1" applyBorder="1" applyAlignment="1">
      <alignment horizontal="centerContinuous"/>
    </xf>
    <xf numFmtId="0" fontId="19" fillId="0" borderId="8" xfId="0" applyFont="1" applyBorder="1"/>
    <xf numFmtId="0" fontId="19" fillId="0" borderId="4" xfId="0" applyFont="1" applyBorder="1"/>
    <xf numFmtId="0" fontId="8" fillId="0" borderId="9" xfId="0" applyFont="1" applyBorder="1" applyAlignment="1">
      <alignment horizontal="centerContinuous"/>
    </xf>
    <xf numFmtId="170" fontId="8" fillId="0" borderId="9" xfId="0" applyNumberFormat="1" applyFont="1" applyBorder="1" applyAlignment="1">
      <alignment horizontal="centerContinuous"/>
    </xf>
    <xf numFmtId="0" fontId="19" fillId="0" borderId="16" xfId="0" applyFont="1" applyBorder="1"/>
    <xf numFmtId="0" fontId="9" fillId="0" borderId="69" xfId="0" applyFont="1" applyBorder="1" applyAlignment="1">
      <alignment horizontal="centerContinuous"/>
    </xf>
    <xf numFmtId="0" fontId="8" fillId="0" borderId="69" xfId="0" applyFont="1" applyBorder="1" applyAlignment="1">
      <alignment horizontal="right"/>
    </xf>
    <xf numFmtId="1" fontId="19" fillId="0" borderId="0" xfId="0" applyNumberFormat="1" applyFont="1" applyAlignment="1">
      <alignment horizontal="center"/>
    </xf>
    <xf numFmtId="3" fontId="8" fillId="0" borderId="0" xfId="0" applyNumberFormat="1" applyFont="1" applyAlignment="1">
      <alignment horizontal="center"/>
    </xf>
    <xf numFmtId="0" fontId="7" fillId="0" borderId="69" xfId="0" applyFont="1" applyBorder="1" applyAlignment="1">
      <alignment horizontal="right"/>
    </xf>
    <xf numFmtId="1" fontId="19" fillId="2" borderId="14" xfId="0" applyNumberFormat="1" applyFont="1" applyFill="1" applyBorder="1" applyAlignment="1">
      <alignment horizontal="center"/>
    </xf>
    <xf numFmtId="0" fontId="19" fillId="0" borderId="69" xfId="0" applyFont="1" applyBorder="1"/>
    <xf numFmtId="1" fontId="19" fillId="0" borderId="0" xfId="0" applyNumberFormat="1" applyFont="1"/>
    <xf numFmtId="0" fontId="19" fillId="0" borderId="3" xfId="0" applyFont="1" applyBorder="1"/>
    <xf numFmtId="0" fontId="19" fillId="0" borderId="6" xfId="0" applyFont="1" applyBorder="1"/>
    <xf numFmtId="0" fontId="8" fillId="0" borderId="69" xfId="0" applyFont="1" applyBorder="1" applyAlignment="1">
      <alignment wrapText="1"/>
    </xf>
    <xf numFmtId="0" fontId="8" fillId="0" borderId="0" xfId="0" applyFont="1" applyAlignment="1">
      <alignment horizontal="right" wrapText="1"/>
    </xf>
    <xf numFmtId="0" fontId="8" fillId="0" borderId="0" xfId="0" applyFont="1" applyAlignment="1">
      <alignment horizontal="left" wrapText="1"/>
    </xf>
    <xf numFmtId="0" fontId="8" fillId="0" borderId="0" xfId="0" applyFont="1" applyAlignment="1">
      <alignment wrapText="1"/>
    </xf>
    <xf numFmtId="0" fontId="19" fillId="0" borderId="0" xfId="0" applyFont="1" applyAlignment="1">
      <alignment wrapText="1"/>
    </xf>
    <xf numFmtId="0" fontId="19" fillId="0" borderId="70" xfId="0" applyFont="1" applyBorder="1" applyAlignment="1">
      <alignment wrapText="1"/>
    </xf>
    <xf numFmtId="44" fontId="19" fillId="2" borderId="14" xfId="2" applyFont="1" applyFill="1" applyBorder="1" applyAlignment="1">
      <alignment horizontal="center"/>
    </xf>
    <xf numFmtId="0" fontId="8" fillId="0" borderId="69" xfId="0" applyFont="1" applyBorder="1" applyAlignment="1">
      <alignment horizontal="right" wrapText="1"/>
    </xf>
    <xf numFmtId="37" fontId="8" fillId="0" borderId="0" xfId="0" applyNumberFormat="1" applyFont="1" applyAlignment="1">
      <alignment horizontal="center" wrapText="1"/>
    </xf>
    <xf numFmtId="7" fontId="8" fillId="0" borderId="0" xfId="0" applyNumberFormat="1" applyFont="1" applyAlignment="1">
      <alignment horizontal="center" wrapText="1"/>
    </xf>
    <xf numFmtId="37" fontId="8" fillId="0" borderId="0" xfId="0" applyNumberFormat="1" applyFont="1" applyAlignment="1">
      <alignment wrapText="1"/>
    </xf>
    <xf numFmtId="3" fontId="19" fillId="0" borderId="14" xfId="0" applyNumberFormat="1" applyFont="1" applyBorder="1" applyAlignment="1">
      <alignment horizontal="center"/>
    </xf>
    <xf numFmtId="169" fontId="19" fillId="2" borderId="14" xfId="2" applyNumberFormat="1" applyFont="1" applyFill="1" applyBorder="1" applyAlignment="1">
      <alignment horizontal="center"/>
    </xf>
    <xf numFmtId="9" fontId="8" fillId="0" borderId="0" xfId="0" applyNumberFormat="1" applyFont="1" applyAlignment="1">
      <alignment wrapText="1"/>
    </xf>
    <xf numFmtId="169" fontId="19" fillId="0" borderId="0" xfId="2" applyNumberFormat="1" applyFont="1" applyFill="1" applyBorder="1"/>
    <xf numFmtId="0" fontId="19" fillId="0" borderId="29" xfId="0" applyFont="1" applyBorder="1"/>
    <xf numFmtId="0" fontId="19" fillId="0" borderId="30" xfId="0" applyFont="1" applyBorder="1"/>
    <xf numFmtId="0" fontId="19" fillId="0" borderId="7" xfId="0" applyFont="1" applyBorder="1"/>
    <xf numFmtId="0" fontId="19" fillId="0" borderId="70" xfId="5" applyFont="1" applyFill="1" applyBorder="1" applyAlignment="1">
      <alignment horizontal="center" wrapText="1"/>
    </xf>
    <xf numFmtId="9" fontId="19" fillId="0" borderId="0" xfId="0" applyNumberFormat="1" applyFont="1" applyAlignment="1">
      <alignment horizontal="center" vertical="center"/>
    </xf>
    <xf numFmtId="0" fontId="19" fillId="0" borderId="1" xfId="0" applyFont="1" applyBorder="1" applyAlignment="1">
      <alignment horizontal="left"/>
    </xf>
    <xf numFmtId="0" fontId="19" fillId="0" borderId="69" xfId="5" applyFont="1" applyBorder="1" applyAlignment="1">
      <alignment horizontal="right"/>
    </xf>
    <xf numFmtId="0" fontId="19" fillId="5" borderId="77" xfId="0" applyFont="1" applyFill="1" applyBorder="1" applyAlignment="1">
      <alignment horizontal="center"/>
    </xf>
    <xf numFmtId="0" fontId="19" fillId="0" borderId="70" xfId="0" applyFont="1" applyFill="1" applyBorder="1" applyAlignment="1">
      <alignment horizontal="center"/>
    </xf>
    <xf numFmtId="0" fontId="19" fillId="0" borderId="36" xfId="0" applyFont="1" applyBorder="1" applyAlignment="1">
      <alignment horizontal="center"/>
    </xf>
    <xf numFmtId="9" fontId="19" fillId="0" borderId="37" xfId="0" applyNumberFormat="1" applyFont="1" applyBorder="1" applyAlignment="1">
      <alignment horizontal="center"/>
    </xf>
    <xf numFmtId="9" fontId="19" fillId="0" borderId="3" xfId="7" applyFont="1" applyFill="1" applyBorder="1" applyAlignment="1">
      <alignment horizontal="left"/>
    </xf>
    <xf numFmtId="0" fontId="19" fillId="0" borderId="4" xfId="0" applyFont="1" applyBorder="1" applyAlignment="1">
      <alignment horizontal="left"/>
    </xf>
    <xf numFmtId="0" fontId="19" fillId="0" borderId="38" xfId="0" applyFont="1" applyBorder="1" applyAlignment="1">
      <alignment horizontal="center"/>
    </xf>
    <xf numFmtId="9" fontId="19" fillId="0" borderId="39" xfId="0" applyNumberFormat="1" applyFont="1" applyBorder="1" applyAlignment="1">
      <alignment horizontal="center"/>
    </xf>
    <xf numFmtId="3" fontId="19" fillId="0" borderId="38" xfId="0" applyNumberFormat="1" applyFont="1" applyBorder="1" applyAlignment="1">
      <alignment horizontal="center"/>
    </xf>
    <xf numFmtId="0" fontId="19" fillId="0" borderId="69" xfId="0" applyFont="1" applyBorder="1" applyAlignment="1">
      <alignment horizontal="left" vertical="center"/>
    </xf>
    <xf numFmtId="0" fontId="19" fillId="2" borderId="0" xfId="2" applyNumberFormat="1" applyFont="1" applyFill="1" applyBorder="1" applyAlignment="1">
      <alignment horizontal="center" vertical="center" wrapText="1"/>
    </xf>
    <xf numFmtId="0" fontId="19" fillId="0" borderId="3" xfId="5" applyFont="1" applyBorder="1" applyAlignment="1">
      <alignment horizontal="right"/>
    </xf>
    <xf numFmtId="0" fontId="19" fillId="0" borderId="8" xfId="5" applyFont="1" applyBorder="1" applyAlignment="1">
      <alignment horizontal="center"/>
    </xf>
    <xf numFmtId="0" fontId="19" fillId="5" borderId="68" xfId="0" applyFont="1" applyFill="1" applyBorder="1" applyAlignment="1">
      <alignment horizontal="center"/>
    </xf>
    <xf numFmtId="3" fontId="19" fillId="0" borderId="0" xfId="0" applyNumberFormat="1" applyFont="1" applyAlignment="1">
      <alignment horizontal="center"/>
    </xf>
    <xf numFmtId="0" fontId="19" fillId="0" borderId="40" xfId="0" applyFont="1" applyBorder="1" applyAlignment="1">
      <alignment horizontal="center"/>
    </xf>
    <xf numFmtId="9" fontId="19" fillId="0" borderId="41" xfId="0" applyNumberFormat="1" applyFont="1" applyBorder="1" applyAlignment="1">
      <alignment horizontal="center"/>
    </xf>
    <xf numFmtId="173" fontId="19" fillId="0" borderId="0" xfId="1" applyNumberFormat="1" applyFont="1" applyFill="1" applyBorder="1"/>
    <xf numFmtId="0" fontId="19" fillId="0" borderId="0" xfId="5" applyFont="1" applyAlignment="1">
      <alignment horizontal="right"/>
    </xf>
    <xf numFmtId="0" fontId="19" fillId="0" borderId="70" xfId="0" applyFont="1" applyBorder="1" applyAlignment="1">
      <alignment horizontal="center"/>
    </xf>
    <xf numFmtId="0" fontId="19" fillId="0" borderId="42" xfId="0" applyFont="1" applyBorder="1" applyAlignment="1">
      <alignment horizontal="center"/>
    </xf>
    <xf numFmtId="0" fontId="19" fillId="0" borderId="43" xfId="0" applyFont="1" applyBorder="1" applyAlignment="1">
      <alignment horizontal="center"/>
    </xf>
    <xf numFmtId="0" fontId="19" fillId="0" borderId="44" xfId="0" applyFont="1" applyBorder="1" applyAlignment="1">
      <alignment horizontal="center"/>
    </xf>
    <xf numFmtId="0" fontId="17" fillId="0" borderId="69" xfId="5" applyFont="1" applyBorder="1" applyAlignment="1">
      <alignment horizontal="left"/>
    </xf>
    <xf numFmtId="0" fontId="19" fillId="0" borderId="5" xfId="0" applyFont="1" applyBorder="1" applyAlignment="1">
      <alignment horizontal="center"/>
    </xf>
    <xf numFmtId="0" fontId="19" fillId="0" borderId="23" xfId="0" applyFont="1" applyBorder="1" applyAlignment="1">
      <alignment horizontal="center"/>
    </xf>
    <xf numFmtId="0" fontId="17" fillId="4" borderId="79" xfId="5" applyFont="1" applyFill="1" applyBorder="1" applyAlignment="1">
      <alignment horizontal="center"/>
    </xf>
    <xf numFmtId="3" fontId="19" fillId="4" borderId="78" xfId="0" applyNumberFormat="1" applyFont="1" applyFill="1" applyBorder="1" applyAlignment="1">
      <alignment horizontal="center"/>
    </xf>
    <xf numFmtId="0" fontId="19" fillId="0" borderId="69" xfId="0" applyFont="1" applyBorder="1" applyAlignment="1">
      <alignment horizontal="center"/>
    </xf>
    <xf numFmtId="9" fontId="19" fillId="0" borderId="0" xfId="5" applyNumberFormat="1" applyFont="1" applyAlignment="1">
      <alignment horizontal="center"/>
    </xf>
    <xf numFmtId="0" fontId="19" fillId="0" borderId="0" xfId="0" applyFont="1" applyAlignment="1">
      <alignment horizontal="center" wrapText="1"/>
    </xf>
    <xf numFmtId="0" fontId="19" fillId="5" borderId="77" xfId="5" applyFont="1" applyFill="1" applyBorder="1" applyAlignment="1">
      <alignment horizontal="center" wrapText="1"/>
    </xf>
    <xf numFmtId="0" fontId="19" fillId="5" borderId="0" xfId="5" applyFont="1" applyFill="1" applyAlignment="1">
      <alignment horizontal="center" wrapText="1"/>
    </xf>
    <xf numFmtId="0" fontId="19" fillId="0" borderId="70" xfId="5" applyFont="1" applyBorder="1" applyAlignment="1">
      <alignment horizontal="center" wrapText="1"/>
    </xf>
    <xf numFmtId="0" fontId="19" fillId="0" borderId="69" xfId="5" applyFont="1" applyBorder="1" applyAlignment="1">
      <alignment horizontal="center"/>
    </xf>
    <xf numFmtId="43" fontId="19" fillId="0" borderId="0" xfId="5" applyNumberFormat="1" applyFont="1" applyAlignment="1">
      <alignment horizontal="center"/>
    </xf>
    <xf numFmtId="3" fontId="19" fillId="5" borderId="77" xfId="0" applyNumberFormat="1" applyFont="1" applyFill="1" applyBorder="1" applyAlignment="1">
      <alignment horizontal="center"/>
    </xf>
    <xf numFmtId="3" fontId="19" fillId="5" borderId="0" xfId="0" applyNumberFormat="1" applyFont="1" applyFill="1" applyAlignment="1">
      <alignment horizontal="center"/>
    </xf>
    <xf numFmtId="0" fontId="19" fillId="2" borderId="14" xfId="0" applyFont="1" applyFill="1" applyBorder="1" applyAlignment="1">
      <alignment horizontal="center"/>
    </xf>
    <xf numFmtId="173" fontId="19" fillId="0" borderId="70" xfId="1" applyNumberFormat="1" applyFont="1" applyFill="1" applyBorder="1"/>
    <xf numFmtId="0" fontId="19" fillId="5" borderId="0" xfId="0" applyFont="1" applyFill="1" applyAlignment="1">
      <alignment horizontal="center"/>
    </xf>
    <xf numFmtId="0" fontId="19" fillId="5" borderId="5" xfId="0" applyFont="1" applyFill="1" applyBorder="1" applyAlignment="1">
      <alignment horizontal="center"/>
    </xf>
    <xf numFmtId="0" fontId="19" fillId="4" borderId="0" xfId="5" applyFont="1" applyFill="1" applyAlignment="1">
      <alignment horizontal="center"/>
    </xf>
    <xf numFmtId="43" fontId="19" fillId="4" borderId="0" xfId="5" applyNumberFormat="1" applyFont="1" applyFill="1" applyAlignment="1">
      <alignment horizontal="center"/>
    </xf>
    <xf numFmtId="173" fontId="19" fillId="4" borderId="0" xfId="1" applyNumberFormat="1" applyFont="1" applyFill="1" applyBorder="1"/>
    <xf numFmtId="3" fontId="19" fillId="4" borderId="0" xfId="0" applyNumberFormat="1" applyFont="1" applyFill="1" applyAlignment="1">
      <alignment horizontal="center"/>
    </xf>
    <xf numFmtId="0" fontId="19" fillId="2" borderId="14" xfId="0" applyFont="1" applyFill="1" applyBorder="1"/>
    <xf numFmtId="0" fontId="0" fillId="0" borderId="69" xfId="0" applyBorder="1"/>
    <xf numFmtId="173" fontId="7" fillId="0" borderId="70" xfId="0" applyNumberFormat="1" applyFont="1" applyBorder="1"/>
    <xf numFmtId="169" fontId="8" fillId="0" borderId="0" xfId="2" applyNumberFormat="1" applyFont="1" applyFill="1" applyBorder="1" applyProtection="1"/>
    <xf numFmtId="0" fontId="14" fillId="0" borderId="70" xfId="0" applyFont="1" applyBorder="1" applyAlignment="1">
      <alignment horizontal="left" vertical="center"/>
    </xf>
    <xf numFmtId="0" fontId="20" fillId="0" borderId="69" xfId="0" applyFont="1" applyBorder="1" applyAlignment="1">
      <alignment horizontal="right" vertical="center" indent="1"/>
    </xf>
    <xf numFmtId="0" fontId="8" fillId="0" borderId="69" xfId="0" applyFont="1" applyBorder="1" applyAlignment="1">
      <alignment horizontal="right" vertical="center"/>
    </xf>
    <xf numFmtId="4" fontId="0" fillId="0" borderId="69" xfId="0" applyNumberFormat="1" applyBorder="1" applyAlignment="1">
      <alignment vertical="center"/>
    </xf>
    <xf numFmtId="0" fontId="7" fillId="0" borderId="69" xfId="0" applyFont="1" applyBorder="1" applyAlignment="1">
      <alignment vertical="center"/>
    </xf>
    <xf numFmtId="0" fontId="7" fillId="0" borderId="70" xfId="0" applyFont="1" applyBorder="1" applyAlignment="1">
      <alignment vertical="center"/>
    </xf>
    <xf numFmtId="0" fontId="0" fillId="0" borderId="69" xfId="0" applyBorder="1" applyAlignment="1">
      <alignment vertical="center"/>
    </xf>
    <xf numFmtId="5" fontId="8" fillId="0" borderId="69" xfId="0" applyNumberFormat="1" applyFont="1" applyBorder="1" applyAlignment="1">
      <alignment vertical="center"/>
    </xf>
    <xf numFmtId="0" fontId="12" fillId="0" borderId="70" xfId="0" applyFont="1" applyBorder="1" applyAlignment="1">
      <alignment vertical="center"/>
    </xf>
    <xf numFmtId="7" fontId="8" fillId="0" borderId="69" xfId="0" applyNumberFormat="1" applyFont="1" applyBorder="1" applyAlignment="1">
      <alignment vertical="center"/>
    </xf>
    <xf numFmtId="164" fontId="8" fillId="0" borderId="0" xfId="0" applyNumberFormat="1" applyFont="1"/>
    <xf numFmtId="39" fontId="8" fillId="0" borderId="70" xfId="0" applyNumberFormat="1" applyFont="1" applyBorder="1"/>
    <xf numFmtId="37" fontId="8" fillId="0" borderId="2" xfId="0" applyNumberFormat="1" applyFont="1" applyBorder="1"/>
    <xf numFmtId="37" fontId="7" fillId="0" borderId="69" xfId="0" applyNumberFormat="1" applyFont="1" applyBorder="1"/>
    <xf numFmtId="5" fontId="8" fillId="0" borderId="70" xfId="0" applyNumberFormat="1" applyFont="1" applyBorder="1"/>
    <xf numFmtId="37" fontId="19" fillId="0" borderId="0" xfId="0" applyNumberFormat="1" applyFont="1" applyAlignment="1">
      <alignment horizontal="right"/>
    </xf>
    <xf numFmtId="10" fontId="19" fillId="0" borderId="70" xfId="0" applyNumberFormat="1" applyFont="1" applyBorder="1"/>
    <xf numFmtId="0" fontId="0" fillId="0" borderId="70" xfId="0" applyBorder="1" applyAlignment="1">
      <alignment horizontal="right"/>
    </xf>
    <xf numFmtId="37" fontId="8" fillId="0" borderId="69" xfId="0" applyNumberFormat="1" applyFont="1" applyBorder="1" applyAlignment="1">
      <alignment horizontal="left" indent="1"/>
    </xf>
    <xf numFmtId="37" fontId="8" fillId="0" borderId="8" xfId="0" applyNumberFormat="1" applyFont="1" applyBorder="1"/>
    <xf numFmtId="0" fontId="8" fillId="0" borderId="2" xfId="0" applyFont="1" applyBorder="1"/>
    <xf numFmtId="10" fontId="19" fillId="2" borderId="70" xfId="0" applyNumberFormat="1" applyFont="1" applyFill="1" applyBorder="1"/>
    <xf numFmtId="37" fontId="8" fillId="0" borderId="2" xfId="0" applyNumberFormat="1" applyFont="1" applyBorder="1" applyAlignment="1">
      <alignment horizontal="left" indent="2"/>
    </xf>
    <xf numFmtId="9" fontId="8" fillId="2" borderId="14" xfId="0" applyNumberFormat="1" applyFont="1" applyFill="1" applyBorder="1"/>
    <xf numFmtId="0" fontId="27" fillId="0" borderId="69" xfId="0" applyFont="1" applyBorder="1" applyAlignment="1">
      <alignment horizontal="left" indent="1"/>
    </xf>
    <xf numFmtId="5" fontId="27" fillId="0" borderId="70" xfId="0" applyNumberFormat="1" applyFont="1" applyBorder="1"/>
    <xf numFmtId="0" fontId="19" fillId="0" borderId="69" xfId="0" applyFont="1" applyBorder="1" applyAlignment="1">
      <alignment horizontal="left" indent="1"/>
    </xf>
    <xf numFmtId="172" fontId="19" fillId="0" borderId="0" xfId="0" applyNumberFormat="1" applyFont="1"/>
    <xf numFmtId="37" fontId="8" fillId="0" borderId="69" xfId="0" applyNumberFormat="1" applyFont="1" applyBorder="1"/>
    <xf numFmtId="10" fontId="8" fillId="0" borderId="70" xfId="7" applyNumberFormat="1" applyFont="1" applyFill="1" applyBorder="1" applyProtection="1"/>
    <xf numFmtId="37" fontId="8" fillId="0" borderId="69" xfId="0" applyNumberFormat="1" applyFont="1" applyBorder="1" applyAlignment="1">
      <alignment horizontal="left" indent="2"/>
    </xf>
    <xf numFmtId="9" fontId="8" fillId="2" borderId="13" xfId="7" applyFont="1" applyFill="1" applyBorder="1" applyProtection="1"/>
    <xf numFmtId="39" fontId="8" fillId="0" borderId="0" xfId="0" applyNumberFormat="1" applyFont="1"/>
    <xf numFmtId="37" fontId="27" fillId="0" borderId="69" xfId="0" applyNumberFormat="1" applyFont="1" applyBorder="1" applyAlignment="1">
      <alignment horizontal="left" indent="1"/>
    </xf>
    <xf numFmtId="37" fontId="7" fillId="0" borderId="69" xfId="0" applyNumberFormat="1" applyFont="1" applyBorder="1" applyAlignment="1">
      <alignment horizontal="left" indent="1"/>
    </xf>
    <xf numFmtId="39" fontId="8" fillId="0" borderId="0" xfId="0" applyNumberFormat="1" applyFont="1" applyAlignment="1">
      <alignment horizontal="left"/>
    </xf>
    <xf numFmtId="5" fontId="7" fillId="0" borderId="70" xfId="0" applyNumberFormat="1" applyFont="1" applyBorder="1" applyAlignment="1">
      <alignment horizontal="right"/>
    </xf>
    <xf numFmtId="0" fontId="0" fillId="0" borderId="70" xfId="0" applyBorder="1"/>
    <xf numFmtId="169" fontId="8" fillId="0" borderId="8" xfId="2" applyNumberFormat="1" applyFont="1" applyBorder="1" applyAlignment="1" applyProtection="1">
      <alignment horizontal="right"/>
    </xf>
    <xf numFmtId="5" fontId="7" fillId="0" borderId="70" xfId="0" applyNumberFormat="1" applyFont="1" applyBorder="1"/>
    <xf numFmtId="0" fontId="8" fillId="0" borderId="70" xfId="0" applyFont="1" applyBorder="1" applyAlignment="1">
      <alignment horizontal="right"/>
    </xf>
    <xf numFmtId="0" fontId="26" fillId="0" borderId="69" xfId="0" applyFont="1" applyBorder="1"/>
    <xf numFmtId="0" fontId="0" fillId="0" borderId="69" xfId="0" applyBorder="1" applyAlignment="1">
      <alignment horizontal="right"/>
    </xf>
    <xf numFmtId="2" fontId="0" fillId="0" borderId="70" xfId="0" applyNumberFormat="1" applyBorder="1"/>
    <xf numFmtId="9" fontId="19" fillId="2" borderId="77" xfId="7" applyFont="1" applyFill="1" applyBorder="1"/>
    <xf numFmtId="3" fontId="19" fillId="0" borderId="0" xfId="0" applyNumberFormat="1" applyFont="1"/>
    <xf numFmtId="3" fontId="19" fillId="0" borderId="74" xfId="0" applyNumberFormat="1" applyFont="1" applyBorder="1"/>
    <xf numFmtId="180" fontId="19" fillId="2" borderId="77" xfId="7" applyNumberFormat="1" applyFont="1" applyFill="1" applyBorder="1"/>
    <xf numFmtId="0" fontId="17" fillId="0" borderId="74" xfId="0" applyFont="1" applyBorder="1"/>
    <xf numFmtId="0" fontId="19" fillId="0" borderId="74" xfId="0" applyFont="1" applyBorder="1"/>
    <xf numFmtId="37" fontId="5" fillId="0" borderId="0" xfId="4" applyFont="1"/>
    <xf numFmtId="0" fontId="0" fillId="0" borderId="74" xfId="7" applyNumberFormat="1" applyFont="1" applyBorder="1"/>
    <xf numFmtId="0" fontId="32" fillId="0" borderId="73" xfId="0" applyFont="1" applyBorder="1"/>
    <xf numFmtId="0" fontId="0" fillId="4" borderId="74" xfId="0" applyFill="1" applyBorder="1"/>
    <xf numFmtId="9" fontId="0" fillId="0" borderId="74" xfId="7" applyFont="1" applyBorder="1"/>
    <xf numFmtId="0" fontId="0" fillId="0" borderId="74" xfId="0" applyBorder="1"/>
    <xf numFmtId="9" fontId="0" fillId="0" borderId="74" xfId="0" applyNumberFormat="1" applyBorder="1"/>
    <xf numFmtId="173" fontId="0" fillId="2" borderId="77" xfId="1" applyNumberFormat="1" applyFont="1" applyFill="1" applyBorder="1"/>
    <xf numFmtId="173" fontId="0" fillId="4" borderId="74" xfId="1" applyNumberFormat="1" applyFont="1" applyFill="1" applyBorder="1"/>
    <xf numFmtId="9" fontId="0" fillId="2" borderId="77" xfId="0" applyNumberFormat="1" applyFill="1" applyBorder="1"/>
    <xf numFmtId="10" fontId="0" fillId="2" borderId="77" xfId="0" applyNumberFormat="1" applyFill="1" applyBorder="1"/>
    <xf numFmtId="173" fontId="0" fillId="0" borderId="74" xfId="0" applyNumberFormat="1" applyBorder="1"/>
    <xf numFmtId="0" fontId="0" fillId="2" borderId="77" xfId="0" applyFill="1" applyBorder="1"/>
    <xf numFmtId="173" fontId="32" fillId="0" borderId="74" xfId="1" applyNumberFormat="1" applyFont="1" applyBorder="1"/>
    <xf numFmtId="0" fontId="17" fillId="0" borderId="73" xfId="0" applyFont="1" applyBorder="1"/>
    <xf numFmtId="0" fontId="32" fillId="0" borderId="73" xfId="0" applyFont="1" applyBorder="1" applyAlignment="1">
      <alignment horizontal="right"/>
    </xf>
    <xf numFmtId="173" fontId="32" fillId="0" borderId="74" xfId="0" applyNumberFormat="1" applyFont="1" applyBorder="1"/>
    <xf numFmtId="0" fontId="5" fillId="0" borderId="0" xfId="6" applyFont="1" applyAlignment="1">
      <alignment horizontal="left"/>
    </xf>
    <xf numFmtId="0" fontId="5" fillId="0" borderId="0" xfId="6" applyFont="1"/>
    <xf numFmtId="0" fontId="5" fillId="0" borderId="79" xfId="6" applyBorder="1"/>
    <xf numFmtId="0" fontId="39" fillId="0" borderId="65" xfId="20" applyFont="1" applyBorder="1" applyAlignment="1">
      <alignment horizontal="center"/>
    </xf>
    <xf numFmtId="0" fontId="39" fillId="0" borderId="91" xfId="20" applyFont="1" applyBorder="1" applyAlignment="1">
      <alignment horizontal="right"/>
    </xf>
    <xf numFmtId="169" fontId="39" fillId="14" borderId="91" xfId="20" applyNumberFormat="1" applyFont="1" applyFill="1" applyBorder="1"/>
    <xf numFmtId="169" fontId="39" fillId="14" borderId="22" xfId="20" applyNumberFormat="1" applyFont="1" applyFill="1" applyBorder="1"/>
    <xf numFmtId="0" fontId="39" fillId="0" borderId="66" xfId="20" applyFont="1" applyBorder="1" applyAlignment="1">
      <alignment horizontal="right" wrapText="1"/>
    </xf>
    <xf numFmtId="44" fontId="39" fillId="0" borderId="67" xfId="20" applyNumberFormat="1" applyFont="1" applyBorder="1"/>
    <xf numFmtId="0" fontId="39" fillId="0" borderId="21" xfId="20" applyFont="1" applyBorder="1" applyAlignment="1">
      <alignment horizontal="right" wrapText="1"/>
    </xf>
    <xf numFmtId="44" fontId="39" fillId="0" borderId="22" xfId="21" applyFont="1" applyBorder="1"/>
    <xf numFmtId="0" fontId="19" fillId="0" borderId="5" xfId="15" applyBorder="1" applyAlignment="1">
      <alignment horizontal="center" wrapText="1"/>
    </xf>
    <xf numFmtId="3" fontId="50" fillId="6" borderId="77" xfId="15" applyNumberFormat="1" applyFont="1" applyFill="1" applyBorder="1" applyAlignment="1">
      <alignment horizontal="center"/>
    </xf>
    <xf numFmtId="0" fontId="50" fillId="6" borderId="77" xfId="15" applyFont="1" applyFill="1" applyBorder="1" applyAlignment="1">
      <alignment horizontal="center"/>
    </xf>
    <xf numFmtId="3" fontId="17" fillId="7" borderId="77" xfId="15" applyNumberFormat="1" applyFont="1" applyFill="1" applyBorder="1" applyAlignment="1">
      <alignment horizontal="center"/>
    </xf>
    <xf numFmtId="9" fontId="50" fillId="6" borderId="77" xfId="15" applyNumberFormat="1" applyFont="1" applyFill="1" applyBorder="1" applyAlignment="1">
      <alignment horizontal="center"/>
    </xf>
    <xf numFmtId="14" fontId="50" fillId="6" borderId="77" xfId="15" applyNumberFormat="1" applyFont="1" applyFill="1" applyBorder="1" applyAlignment="1">
      <alignment horizontal="center"/>
    </xf>
    <xf numFmtId="0" fontId="19" fillId="0" borderId="5" xfId="15" applyBorder="1" applyAlignment="1">
      <alignment horizontal="center" wrapText="1"/>
    </xf>
    <xf numFmtId="0" fontId="19" fillId="8" borderId="77" xfId="15" applyFill="1" applyBorder="1"/>
    <xf numFmtId="0" fontId="19" fillId="8" borderId="77" xfId="15" applyFill="1" applyBorder="1" applyAlignment="1">
      <alignment horizontal="center" wrapText="1"/>
    </xf>
    <xf numFmtId="0" fontId="19" fillId="0" borderId="92" xfId="5" applyFont="1" applyBorder="1" applyAlignment="1">
      <alignment horizontal="center"/>
    </xf>
    <xf numFmtId="2" fontId="19" fillId="0" borderId="79" xfId="5" applyNumberFormat="1" applyFont="1" applyBorder="1" applyAlignment="1">
      <alignment horizontal="center"/>
    </xf>
    <xf numFmtId="0" fontId="19" fillId="8" borderId="21" xfId="15" applyFill="1" applyBorder="1" applyAlignment="1">
      <alignment horizontal="center"/>
    </xf>
    <xf numFmtId="0" fontId="19" fillId="8" borderId="5" xfId="5" applyFont="1" applyFill="1" applyBorder="1" applyAlignment="1">
      <alignment horizontal="center"/>
    </xf>
    <xf numFmtId="9" fontId="19" fillId="8" borderId="5" xfId="5" applyNumberFormat="1" applyFont="1" applyFill="1" applyBorder="1" applyAlignment="1">
      <alignment horizontal="center"/>
    </xf>
    <xf numFmtId="178" fontId="19" fillId="8" borderId="5" xfId="15" applyNumberFormat="1" applyFill="1" applyBorder="1" applyAlignment="1">
      <alignment horizontal="center" wrapText="1"/>
    </xf>
    <xf numFmtId="0" fontId="19" fillId="8" borderId="91" xfId="15" applyFill="1" applyBorder="1" applyAlignment="1">
      <alignment horizontal="center" vertical="center" wrapText="1"/>
    </xf>
    <xf numFmtId="0" fontId="19" fillId="8" borderId="91" xfId="5" applyFont="1" applyFill="1" applyBorder="1" applyAlignment="1">
      <alignment horizontal="center" vertical="center" wrapText="1"/>
    </xf>
    <xf numFmtId="177" fontId="19" fillId="8" borderId="91" xfId="15" applyNumberFormat="1" applyFill="1" applyBorder="1" applyAlignment="1">
      <alignment horizontal="center" vertical="center" wrapText="1"/>
    </xf>
    <xf numFmtId="0" fontId="19" fillId="0" borderId="79" xfId="5" applyFont="1" applyBorder="1" applyAlignment="1">
      <alignment horizontal="center"/>
    </xf>
    <xf numFmtId="39" fontId="19" fillId="0" borderId="79" xfId="5" applyNumberFormat="1" applyFont="1" applyBorder="1" applyAlignment="1">
      <alignment horizontal="center"/>
    </xf>
    <xf numFmtId="3" fontId="17" fillId="7" borderId="92" xfId="15" applyNumberFormat="1" applyFont="1" applyFill="1" applyBorder="1" applyAlignment="1">
      <alignment horizontal="center"/>
    </xf>
    <xf numFmtId="3" fontId="17" fillId="9" borderId="93" xfId="15" applyNumberFormat="1" applyFont="1" applyFill="1" applyBorder="1" applyAlignment="1">
      <alignment horizontal="center"/>
    </xf>
    <xf numFmtId="3" fontId="17" fillId="10" borderId="93" xfId="15" applyNumberFormat="1" applyFont="1" applyFill="1" applyBorder="1" applyAlignment="1">
      <alignment horizontal="center"/>
    </xf>
    <xf numFmtId="0" fontId="5" fillId="0" borderId="0" xfId="6" applyAlignment="1"/>
    <xf numFmtId="170" fontId="5" fillId="0" borderId="79" xfId="6" applyNumberFormat="1" applyBorder="1" applyProtection="1">
      <protection locked="0"/>
    </xf>
    <xf numFmtId="170" fontId="36" fillId="0" borderId="79" xfId="6" applyNumberFormat="1" applyFont="1" applyBorder="1"/>
    <xf numFmtId="0" fontId="37" fillId="0" borderId="0" xfId="6" applyFont="1" applyAlignment="1"/>
    <xf numFmtId="0" fontId="5" fillId="0" borderId="0" xfId="6" applyFont="1" applyAlignment="1">
      <alignment wrapText="1"/>
    </xf>
    <xf numFmtId="0" fontId="5" fillId="0" borderId="73" xfId="6" applyFont="1" applyBorder="1" applyAlignment="1">
      <alignment wrapText="1"/>
    </xf>
    <xf numFmtId="0" fontId="36" fillId="0" borderId="0" xfId="6" applyFont="1" applyAlignment="1"/>
  </cellXfs>
  <cellStyles count="22">
    <cellStyle name="Comma" xfId="1" builtinId="3"/>
    <cellStyle name="Comma 2" xfId="13" xr:uid="{E3A23EA9-777F-47CD-90D7-643E0AE1A87E}"/>
    <cellStyle name="Comma 3" xfId="19" xr:uid="{B4985523-90AE-42CB-B7C3-9C0498EB1D19}"/>
    <cellStyle name="Currency" xfId="2" builtinId="4"/>
    <cellStyle name="Currency 2" xfId="14" xr:uid="{A2605101-4304-44BD-84B3-3E71DDF42957}"/>
    <cellStyle name="Currency 2 2" xfId="21" xr:uid="{7F603FCA-7A5B-42D3-8223-F7A9484FB84B}"/>
    <cellStyle name="Hyperlink 2" xfId="18" xr:uid="{5880DA07-95B1-4F6C-B50A-3D9189F0117A}"/>
    <cellStyle name="Normal" xfId="0" builtinId="0"/>
    <cellStyle name="Normal 10 11" xfId="15" xr:uid="{93864376-82BB-4EB8-8BC3-8D4B8D71B64B}"/>
    <cellStyle name="Normal 2" xfId="3" xr:uid="{00000000-0005-0000-0000-000003000000}"/>
    <cellStyle name="Normal 3" xfId="9" xr:uid="{17A2FBC2-EB90-4041-9CD5-EFF8AD183E2B}"/>
    <cellStyle name="Normal 3 2" xfId="10" xr:uid="{7C715AF4-8F8F-466A-A028-BD6AFB11C744}"/>
    <cellStyle name="Normal 3 3" xfId="12" xr:uid="{72FEDCB1-178C-4D5A-9A8A-52778DE98567}"/>
    <cellStyle name="Normal 3 4" xfId="16" xr:uid="{43FB4E37-443D-4F68-B8D5-BEB8177EFC32}"/>
    <cellStyle name="Normal 4" xfId="11" xr:uid="{1BB80CF1-5E65-4B2F-8619-06E6E5A0AD2E}"/>
    <cellStyle name="Normal 4 2" xfId="17" xr:uid="{AB381FC4-0BE3-4BF9-B24E-61013C5A281D}"/>
    <cellStyle name="Normal 5" xfId="20" xr:uid="{7CCF3089-D48B-4083-9157-C8CF4901C620}"/>
    <cellStyle name="Normal_1471bedford" xfId="4" xr:uid="{00000000-0005-0000-0000-000004000000}"/>
    <cellStyle name="Normal_coop sale price analysis v2" xfId="5" xr:uid="{00000000-0005-0000-0000-000005000000}"/>
    <cellStyle name="Normal_Form F - Financing Proposal" xfId="6" xr:uid="{00000000-0005-0000-0000-000006000000}"/>
    <cellStyle name="Percent" xfId="7" builtinId="5"/>
    <cellStyle name="Percent 2" xfId="8" xr:uid="{2B68880A-77DF-4660-BCDB-26B03CFEB369}"/>
  </cellStyles>
  <dxfs count="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3</xdr:row>
      <xdr:rowOff>66675</xdr:rowOff>
    </xdr:from>
    <xdr:to>
      <xdr:col>15</xdr:col>
      <xdr:colOff>285750</xdr:colOff>
      <xdr:row>52</xdr:row>
      <xdr:rowOff>190427</xdr:rowOff>
    </xdr:to>
    <xdr:pic>
      <xdr:nvPicPr>
        <xdr:cNvPr id="6" name="Picture 5">
          <a:extLst>
            <a:ext uri="{FF2B5EF4-FFF2-40B4-BE49-F238E27FC236}">
              <a16:creationId xmlns:a16="http://schemas.microsoft.com/office/drawing/2014/main" id="{B6F774CD-DFD0-E7C2-0311-3545D2A9A1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068" t="7613" r="11152" b="8492"/>
        <a:stretch/>
      </xdr:blipFill>
      <xdr:spPr>
        <a:xfrm>
          <a:off x="76200" y="638175"/>
          <a:ext cx="11639550" cy="94582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Sandy%20Rad/Local%20Settings/Temporary%20Internet%20Files/OLK18F/Casablanca%20Houses82806%2075%20k%20in%20subsidy%20(2).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nyco365.sharepoint.com/sites/HPD-DEV-OODFULLStaffNewsChannel-NewConstructionFinanceNCF/Shared%20Documents/New%20Construction%20Finance%20(NCF)/2.%20Projects/2.%20RFPs/Hunters%20Point%20South%20-%20E/RFP%20Prep/HPD%20External%20Underwriting%20Shell_2024%20with%20MIMI%20CBA.xlsx" TargetMode="External"/><Relationship Id="rId2" Type="http://schemas.microsoft.com/office/2019/04/relationships/externalLinkLongPath" Target="HPD%20External%20Underwriting%20Shell_2024%20with%20MIMI%20CBA.xlsx?1CCB8827" TargetMode="External"/><Relationship Id="rId1" Type="http://schemas.openxmlformats.org/officeDocument/2006/relationships/externalLinkPath" Target="file:///\\1CCB8827\HPD%20External%20Underwriting%20Shell_2024%20with%20MIMI%20CB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WINDOWS\Temporary%20Internet%20Files\Content.IE5\335PUELY\2001%20Series%20C,%20Sept%202001\East%20148th%20Street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WINDOWS\Temporary%20Internet%20Files\Content.IE5\335PUELY\PLP--Round%20III\670stan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HPD\Every%20Necessary%20Document\AMIs\2022%20AMI%20rent%20calc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hared/PLP/plp%20shells/Credit%20Memo%20PLP%20Shell%202006%20B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s and Uses"/>
      <sheetName val="Unit Distrib."/>
      <sheetName val="m &amp; O"/>
      <sheetName val="Devel. Bud"/>
      <sheetName val="Mort"/>
      <sheetName val="Cred Memo"/>
      <sheetName val="Sheet2"/>
      <sheetName val="Menu"/>
      <sheetName val="#REF"/>
      <sheetName val="2. mort"/>
      <sheetName val="2. units &amp; income"/>
      <sheetName val="Deprec"/>
      <sheetName val="1) Data"/>
      <sheetName val="Contracts"/>
      <sheetName val="Assumptions"/>
      <sheetName val="drawform"/>
      <sheetName val="Casablanca Houses82806 75 k in "/>
      <sheetName val="Summary"/>
      <sheetName val="Projected Unleveraged CF"/>
      <sheetName val="Overview"/>
      <sheetName val="Sources_and_Uses"/>
      <sheetName val="Unit_Distrib_"/>
      <sheetName val="m_&amp;_O"/>
      <sheetName val="Devel__Bud"/>
      <sheetName val="Cred_Mem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structions"/>
      <sheetName val="Sources and Use"/>
      <sheetName val="Devel. Bud"/>
      <sheetName val="Cons Int &amp; Neg Arb"/>
      <sheetName val="Units &amp; Income"/>
      <sheetName val="M and O"/>
      <sheetName val="Mort"/>
      <sheetName val="Cash Flow"/>
      <sheetName val="Tax Credit "/>
      <sheetName val="Trade Pmt"/>
      <sheetName val="Pro Forma Summary"/>
      <sheetName val="Fl Area Summary"/>
      <sheetName val="MIMI Cost Benefit Analysis"/>
      <sheetName val="AMI &amp; Rent"/>
      <sheetName val="Expanded UA Table"/>
      <sheetName val="Project Summary"/>
    </sheetNames>
    <sheetDataSet>
      <sheetData sheetId="0" refreshError="1"/>
      <sheetData sheetId="1" refreshError="1"/>
      <sheetData sheetId="2"/>
      <sheetData sheetId="3" refreshError="1"/>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 Distrib."/>
      <sheetName val="Sources and Use"/>
      <sheetName val="M and O"/>
      <sheetName val="Mort"/>
      <sheetName val="Devel. Bud"/>
      <sheetName val="Int Calc (LT1st)"/>
      <sheetName val="Tax Credits"/>
      <sheetName val="Unit_Distrib_"/>
      <sheetName val="Sources_and_Use"/>
      <sheetName val="M_and_O"/>
      <sheetName val="Devel__Bud"/>
      <sheetName val="Int_Calc_(LT1st)"/>
      <sheetName val="Tax_Credits"/>
      <sheetName val="Devel_ Bud"/>
      <sheetName val="Units &amp; Income"/>
      <sheetName val="Sheet1"/>
      <sheetName val="Unit_Distrib_1"/>
      <sheetName val="Sources_and_Use1"/>
      <sheetName val="M_and_O1"/>
      <sheetName val="Devel__Bud1"/>
      <sheetName val="Int_Calc_(LT1st)1"/>
      <sheetName val="Tax_Credits1"/>
      <sheetName val="Devel__Bud2"/>
      <sheetName val="Units_&amp;_Income"/>
      <sheetName val="Unit_Distrib_2"/>
      <sheetName val="Sources_and_Use2"/>
      <sheetName val="M_and_O2"/>
      <sheetName val="Devel__Bud3"/>
      <sheetName val="Int_Calc_(LT1st)2"/>
      <sheetName val="Tax_Credits2"/>
      <sheetName val="Devel__Bud4"/>
      <sheetName val="Units_&amp;_Incom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s"/>
      <sheetName val="Income"/>
      <sheetName val="Loan Info."/>
      <sheetName val="Loan_Info_"/>
      <sheetName val="Unit Distrib."/>
      <sheetName val="Mort"/>
      <sheetName val="Sources and Use"/>
      <sheetName val="Devel. Bud"/>
      <sheetName val="M and O"/>
      <sheetName val="Cash Flow"/>
      <sheetName val="Loan_Info_1"/>
      <sheetName val="Unit_Distrib_"/>
      <sheetName val="Sources_and_Use"/>
      <sheetName val="Devel__Bud"/>
      <sheetName val="M_and_O"/>
      <sheetName val="Cash_Flow"/>
      <sheetName val="Property Summary &amp; Inputs"/>
      <sheetName val="Sources &amp; Uses"/>
      <sheetName val="Dev. Budget"/>
      <sheetName val="Mort Schedule"/>
      <sheetName val="Rent Roll"/>
      <sheetName val="M&amp;O"/>
      <sheetName val="Cons. Interest"/>
      <sheetName val="Balloon Schedule"/>
      <sheetName val="Amort"/>
      <sheetName val="J-51 Tax Analysis"/>
      <sheetName val="Article XI Tax Analysis"/>
      <sheetName val="OMB Project Summary"/>
      <sheetName val="BCQ"/>
      <sheetName val="OMB Cash Flow"/>
      <sheetName val="OMB M&amp;O "/>
      <sheetName val="PSSA"/>
      <sheetName val="Development Budget"/>
      <sheetName val="Energy Scope"/>
      <sheetName val="120G P &amp; L Summary"/>
      <sheetName val="main"/>
      <sheetName val="Unit Mix"/>
      <sheetName val="Inputs"/>
      <sheetName val="S&amp;U"/>
      <sheetName val="Sheet1"/>
      <sheetName val="FT2-1"/>
      <sheetName val="Cred Memo"/>
      <sheetName val="Instructions"/>
      <sheetName val="Cons Int &amp; Neg Arb"/>
      <sheetName val="Units &amp; Income"/>
      <sheetName val="Rent Chart"/>
      <sheetName val="Tax Credit "/>
      <sheetName val="Trade Pmt"/>
      <sheetName val="Pro Forma Summary"/>
      <sheetName val="Fl Area Summary"/>
      <sheetName val="Reso A"/>
      <sheetName val="Project Summary"/>
      <sheetName val="Bricks and Mortar"/>
      <sheetName val="Pre-De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I &amp; Rent"/>
      <sheetName val="AMI Table"/>
      <sheetName val="Sheet1"/>
    </sheetNames>
    <sheetDataSet>
      <sheetData sheetId="0"/>
      <sheetData sheetId="1"/>
      <sheetData sheetId="2">
        <row r="1">
          <cell r="A1" t="str">
            <v>New Construction/Special Needs</v>
          </cell>
        </row>
        <row r="2">
          <cell r="A2" t="str">
            <v>Preservation/Rehab</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Mem1"/>
      <sheetName val="CMem2"/>
      <sheetName val="Mort"/>
      <sheetName val="Rents"/>
      <sheetName val="I&amp;E"/>
      <sheetName val="I&amp;A"/>
      <sheetName val="IA2"/>
      <sheetName val="Calcs"/>
      <sheetName val="CFA"/>
      <sheetName val="Assumptions"/>
      <sheetName val="BUDGET"/>
      <sheetName val="Tenant Mix"/>
      <sheetName val="Cred Memo"/>
      <sheetName val="development budget"/>
      <sheetName val="financing assumptions"/>
      <sheetName val="revenue"/>
      <sheetName val="HUD NY Full"/>
      <sheetName val="NYS MTSP2011"/>
      <sheetName val="NYS MTSP2012"/>
      <sheetName val="NYS MTSP2013"/>
      <sheetName val="NYS MTSP2014"/>
      <sheetName val="NYS MTSP2015"/>
      <sheetName val="NYS MTSP2016"/>
      <sheetName val="MEDRENT10"/>
      <sheetName val="Instructions"/>
      <sheetName val="Sources and Use"/>
      <sheetName val="Devel. Bud"/>
      <sheetName val="Cons Int &amp; Neg Arb"/>
      <sheetName val="Units &amp; Income"/>
      <sheetName val="Rent Chart"/>
      <sheetName val="M and O"/>
      <sheetName val="Cash Flow"/>
      <sheetName val="Tax Credit "/>
      <sheetName val="Trade Pmt"/>
      <sheetName val="Pro Forma Summary"/>
      <sheetName val="Fl Area Summary"/>
      <sheetName val="Reso A"/>
      <sheetName val="Project Summary"/>
      <sheetName val="Bricks and Mortar"/>
      <sheetName val="Pre-Dev"/>
      <sheetName val="4100-100 Commercial Rent"/>
      <sheetName val="REISsub"/>
      <sheetName val="Drop-down options"/>
      <sheetName val="RE Po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9.bin"/><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 Id="rId9"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 Id="rId9"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7.bin"/><Relationship Id="rId3" Type="http://schemas.openxmlformats.org/officeDocument/2006/relationships/printerSettings" Target="../printerSettings/printerSettings22.bin"/><Relationship Id="rId7" Type="http://schemas.openxmlformats.org/officeDocument/2006/relationships/printerSettings" Target="../printerSettings/printerSettings26.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printerSettings" Target="../printerSettings/printerSettings25.bin"/><Relationship Id="rId5" Type="http://schemas.openxmlformats.org/officeDocument/2006/relationships/printerSettings" Target="../printerSettings/printerSettings24.bin"/><Relationship Id="rId4" Type="http://schemas.openxmlformats.org/officeDocument/2006/relationships/printerSettings" Target="../printerSettings/printerSettings23.bin"/><Relationship Id="rId9"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6.bin"/><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 Id="rId9" Type="http://schemas.openxmlformats.org/officeDocument/2006/relationships/printerSettings" Target="../printerSettings/printerSettings37.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5.bin"/><Relationship Id="rId3" Type="http://schemas.openxmlformats.org/officeDocument/2006/relationships/printerSettings" Target="../printerSettings/printerSettings40.bin"/><Relationship Id="rId7" Type="http://schemas.openxmlformats.org/officeDocument/2006/relationships/printerSettings" Target="../printerSettings/printerSettings44.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6" Type="http://schemas.openxmlformats.org/officeDocument/2006/relationships/printerSettings" Target="../printerSettings/printerSettings43.bin"/><Relationship Id="rId5" Type="http://schemas.openxmlformats.org/officeDocument/2006/relationships/printerSettings" Target="../printerSettings/printerSettings42.bin"/><Relationship Id="rId4" Type="http://schemas.openxmlformats.org/officeDocument/2006/relationships/printerSettings" Target="../printerSettings/printerSettings41.bin"/><Relationship Id="rId9" Type="http://schemas.openxmlformats.org/officeDocument/2006/relationships/printerSettings" Target="../printerSettings/printerSettings46.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4.bin"/><Relationship Id="rId3" Type="http://schemas.openxmlformats.org/officeDocument/2006/relationships/printerSettings" Target="../printerSettings/printerSettings49.bin"/><Relationship Id="rId7" Type="http://schemas.openxmlformats.org/officeDocument/2006/relationships/printerSettings" Target="../printerSettings/printerSettings53.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6" Type="http://schemas.openxmlformats.org/officeDocument/2006/relationships/printerSettings" Target="../printerSettings/printerSettings52.bin"/><Relationship Id="rId11" Type="http://schemas.openxmlformats.org/officeDocument/2006/relationships/comments" Target="../comments1.xml"/><Relationship Id="rId5" Type="http://schemas.openxmlformats.org/officeDocument/2006/relationships/printerSettings" Target="../printerSettings/printerSettings51.bin"/><Relationship Id="rId10" Type="http://schemas.openxmlformats.org/officeDocument/2006/relationships/vmlDrawing" Target="../drawings/vmlDrawing1.vml"/><Relationship Id="rId4" Type="http://schemas.openxmlformats.org/officeDocument/2006/relationships/printerSettings" Target="../printerSettings/printerSettings50.bin"/><Relationship Id="rId9" Type="http://schemas.openxmlformats.org/officeDocument/2006/relationships/printerSettings" Target="../printerSettings/printerSettings55.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63.bin"/><Relationship Id="rId3" Type="http://schemas.openxmlformats.org/officeDocument/2006/relationships/printerSettings" Target="../printerSettings/printerSettings58.bin"/><Relationship Id="rId7" Type="http://schemas.openxmlformats.org/officeDocument/2006/relationships/printerSettings" Target="../printerSettings/printerSettings62.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 Id="rId6" Type="http://schemas.openxmlformats.org/officeDocument/2006/relationships/printerSettings" Target="../printerSettings/printerSettings61.bin"/><Relationship Id="rId5" Type="http://schemas.openxmlformats.org/officeDocument/2006/relationships/printerSettings" Target="../printerSettings/printerSettings60.bin"/><Relationship Id="rId4" Type="http://schemas.openxmlformats.org/officeDocument/2006/relationships/printerSettings" Target="../printerSettings/printerSettings59.bin"/><Relationship Id="rId9" Type="http://schemas.openxmlformats.org/officeDocument/2006/relationships/printerSettings" Target="../printerSettings/printerSettings6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
  <sheetViews>
    <sheetView tabSelected="1" workbookViewId="0">
      <selection activeCell="A2" sqref="A2"/>
    </sheetView>
  </sheetViews>
  <sheetFormatPr defaultRowHeight="15"/>
  <sheetData>
    <row r="1" spans="1:11" ht="15.75">
      <c r="A1" s="192" t="s">
        <v>0</v>
      </c>
      <c r="B1" s="188"/>
      <c r="C1" s="188"/>
      <c r="D1" s="188"/>
      <c r="E1" s="188"/>
      <c r="F1" s="188"/>
      <c r="G1" s="188"/>
      <c r="H1" s="188"/>
    </row>
    <row r="2" spans="1:11" ht="15.75">
      <c r="A2" s="192" t="s">
        <v>1</v>
      </c>
      <c r="B2" s="188"/>
      <c r="C2" s="188"/>
      <c r="D2" s="188"/>
      <c r="E2" s="188"/>
      <c r="F2" s="188"/>
      <c r="G2" s="188"/>
      <c r="H2" s="188"/>
    </row>
    <row r="4" spans="1:11" ht="15.75">
      <c r="A4" s="190" t="s">
        <v>2</v>
      </c>
      <c r="B4" s="49"/>
      <c r="C4" s="49"/>
      <c r="D4" s="49"/>
      <c r="E4" s="49"/>
      <c r="F4" s="49"/>
      <c r="G4" s="49"/>
      <c r="H4" s="49"/>
      <c r="I4" s="49"/>
      <c r="J4" s="49"/>
    </row>
    <row r="5" spans="1:11" ht="15.75">
      <c r="A5" s="190"/>
      <c r="B5" s="49"/>
      <c r="C5" s="49"/>
      <c r="D5" s="49"/>
      <c r="E5" s="49"/>
      <c r="F5" s="49"/>
      <c r="G5" s="49"/>
      <c r="H5" s="49"/>
      <c r="I5" s="49"/>
      <c r="J5" s="49"/>
    </row>
    <row r="6" spans="1:11" ht="45" customHeight="1">
      <c r="A6" s="469" t="s">
        <v>3</v>
      </c>
      <c r="B6" s="469"/>
      <c r="C6" s="469"/>
      <c r="D6" s="469"/>
      <c r="E6" s="469"/>
      <c r="F6" s="469"/>
      <c r="G6" s="469"/>
      <c r="H6" s="469"/>
      <c r="I6" s="461"/>
      <c r="J6" s="461"/>
      <c r="K6" s="49"/>
    </row>
    <row r="7" spans="1:11">
      <c r="A7" s="49"/>
      <c r="B7" s="49"/>
      <c r="C7" s="49"/>
      <c r="D7" s="49"/>
      <c r="E7" s="49"/>
      <c r="F7" s="49"/>
      <c r="G7" s="49"/>
      <c r="H7" s="49"/>
      <c r="I7" s="49"/>
      <c r="J7" s="49"/>
    </row>
    <row r="8" spans="1:11" ht="30.75" customHeight="1">
      <c r="A8" s="469" t="s">
        <v>4</v>
      </c>
      <c r="B8" s="469"/>
      <c r="C8" s="469"/>
      <c r="D8" s="469"/>
      <c r="E8" s="469"/>
      <c r="F8" s="469"/>
      <c r="G8" s="469"/>
      <c r="H8" s="469"/>
      <c r="I8" s="462"/>
      <c r="J8" s="462"/>
      <c r="K8" s="189"/>
    </row>
    <row r="10" spans="1:11">
      <c r="A10" s="469" t="s">
        <v>5</v>
      </c>
      <c r="B10" s="470"/>
      <c r="C10" s="470"/>
      <c r="D10" s="470"/>
      <c r="E10" s="470"/>
      <c r="F10" s="470"/>
      <c r="G10" s="470"/>
      <c r="H10" s="470"/>
    </row>
    <row r="12" spans="1:11" ht="15.75">
      <c r="A12" s="200"/>
    </row>
  </sheetData>
  <mergeCells count="3">
    <mergeCell ref="A6:H6"/>
    <mergeCell ref="A8:H8"/>
    <mergeCell ref="A10:H10"/>
  </mergeCells>
  <phoneticPr fontId="33" type="noConversion"/>
  <pageMargins left="0.75" right="0.75" top="1" bottom="1" header="0.5" footer="0.5"/>
  <pageSetup firstPageNumber="205" fitToHeight="0" orientation="portrait" useFirstPageNumber="1" r:id="rId1"/>
  <headerFooter alignWithMargins="0">
    <oddFooter>&amp;R&amp;P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workbookViewId="0"/>
  </sheetViews>
  <sheetFormatPr defaultColWidth="7.109375" defaultRowHeight="12.75"/>
  <cols>
    <col min="1" max="1" width="3.44140625" style="157" customWidth="1"/>
    <col min="2" max="2" width="32.77734375" style="153" bestFit="1" customWidth="1"/>
    <col min="3" max="3" width="16.6640625" style="159" customWidth="1"/>
    <col min="4" max="16384" width="7.109375" style="153"/>
  </cols>
  <sheetData>
    <row r="1" spans="1:5" s="24" customFormat="1" ht="16.5" customHeight="1">
      <c r="A1" s="1" t="str">
        <f>'Sources and Use'!A1</f>
        <v xml:space="preserve">Project Name: </v>
      </c>
      <c r="B1" s="49"/>
      <c r="C1" s="150" t="str">
        <f>'Sources and Use'!C3</f>
        <v>Units:</v>
      </c>
      <c r="D1" s="1">
        <f>'Units &amp; Income'!C24</f>
        <v>0</v>
      </c>
      <c r="E1" s="17"/>
    </row>
    <row r="2" spans="1:5" s="24" customFormat="1" ht="16.5" customHeight="1">
      <c r="A2" s="1" t="str">
        <f>'Sources and Use'!A2</f>
        <v>Development Team:</v>
      </c>
      <c r="B2" s="49"/>
      <c r="C2" s="150"/>
      <c r="D2" s="1"/>
      <c r="E2" s="17"/>
    </row>
    <row r="3" spans="1:5" s="24" customFormat="1" ht="16.5" customHeight="1">
      <c r="A3" s="1" t="str">
        <f>'Sources and Use'!A3</f>
        <v>Site:</v>
      </c>
      <c r="B3" s="49"/>
      <c r="C3" s="517"/>
      <c r="D3" s="1"/>
      <c r="E3" s="17"/>
    </row>
    <row r="5" spans="1:5" s="155" customFormat="1">
      <c r="A5" s="154" t="s">
        <v>389</v>
      </c>
      <c r="B5" s="466"/>
      <c r="C5" s="156" t="s">
        <v>390</v>
      </c>
      <c r="D5" s="466"/>
      <c r="E5" s="466"/>
    </row>
    <row r="7" spans="1:5" ht="20.25" customHeight="1">
      <c r="A7" s="157">
        <v>1</v>
      </c>
      <c r="B7" s="467" t="s">
        <v>391</v>
      </c>
      <c r="C7" s="158"/>
      <c r="D7" s="467"/>
      <c r="E7" s="467"/>
    </row>
    <row r="8" spans="1:5" ht="20.25" customHeight="1">
      <c r="A8" s="157" t="s">
        <v>392</v>
      </c>
      <c r="B8" s="467" t="s">
        <v>393</v>
      </c>
      <c r="C8" s="158"/>
      <c r="D8" s="467"/>
      <c r="E8" s="467"/>
    </row>
    <row r="9" spans="1:5" ht="20.25" customHeight="1">
      <c r="A9" s="157" t="s">
        <v>394</v>
      </c>
      <c r="B9" s="467" t="s">
        <v>395</v>
      </c>
      <c r="C9" s="158"/>
      <c r="D9" s="467"/>
      <c r="E9" s="467"/>
    </row>
    <row r="10" spans="1:5" ht="20.25" customHeight="1">
      <c r="A10" s="157">
        <v>3</v>
      </c>
      <c r="B10" s="467" t="s">
        <v>396</v>
      </c>
      <c r="C10" s="158"/>
      <c r="D10" s="467"/>
      <c r="E10" s="467"/>
    </row>
    <row r="11" spans="1:5" ht="20.25" customHeight="1">
      <c r="A11" s="157" t="s">
        <v>397</v>
      </c>
      <c r="B11" s="467" t="s">
        <v>398</v>
      </c>
      <c r="C11" s="158"/>
      <c r="D11" s="467"/>
      <c r="E11" s="467"/>
    </row>
    <row r="12" spans="1:5" ht="20.25" customHeight="1">
      <c r="A12" s="157">
        <v>5</v>
      </c>
      <c r="B12" s="467" t="s">
        <v>399</v>
      </c>
      <c r="C12" s="158"/>
      <c r="D12" s="467"/>
      <c r="E12" s="467"/>
    </row>
    <row r="13" spans="1:5" ht="20.25" customHeight="1">
      <c r="A13" s="157" t="s">
        <v>400</v>
      </c>
      <c r="B13" s="467" t="s">
        <v>401</v>
      </c>
      <c r="C13" s="158"/>
      <c r="D13" s="467"/>
      <c r="E13" s="467"/>
    </row>
    <row r="14" spans="1:5" ht="20.25" customHeight="1">
      <c r="A14" s="157" t="s">
        <v>402</v>
      </c>
      <c r="B14" s="467" t="s">
        <v>403</v>
      </c>
      <c r="C14" s="158"/>
      <c r="D14" s="467"/>
      <c r="E14" s="467"/>
    </row>
    <row r="15" spans="1:5" ht="20.25" customHeight="1">
      <c r="A15" s="157" t="s">
        <v>404</v>
      </c>
      <c r="B15" s="467" t="s">
        <v>405</v>
      </c>
      <c r="C15" s="158"/>
      <c r="D15" s="467"/>
      <c r="E15" s="467"/>
    </row>
    <row r="16" spans="1:5" ht="20.25" customHeight="1">
      <c r="A16" s="157" t="s">
        <v>406</v>
      </c>
      <c r="B16" s="467" t="s">
        <v>407</v>
      </c>
      <c r="C16" s="158"/>
      <c r="D16" s="467"/>
      <c r="E16" s="467"/>
    </row>
    <row r="17" spans="1:3" ht="20.25" customHeight="1">
      <c r="A17" s="157" t="s">
        <v>408</v>
      </c>
      <c r="B17" s="467" t="s">
        <v>409</v>
      </c>
      <c r="C17" s="158"/>
    </row>
    <row r="18" spans="1:3" ht="20.25" customHeight="1">
      <c r="A18" s="157" t="s">
        <v>410</v>
      </c>
      <c r="B18" s="467" t="s">
        <v>411</v>
      </c>
      <c r="C18" s="158"/>
    </row>
    <row r="19" spans="1:3" ht="20.25" customHeight="1">
      <c r="A19" s="157" t="s">
        <v>412</v>
      </c>
      <c r="B19" s="467" t="s">
        <v>413</v>
      </c>
      <c r="C19" s="158"/>
    </row>
    <row r="20" spans="1:3" ht="20.25" customHeight="1">
      <c r="A20" s="157" t="s">
        <v>414</v>
      </c>
      <c r="B20" s="467" t="s">
        <v>415</v>
      </c>
      <c r="C20" s="158"/>
    </row>
    <row r="21" spans="1:3" ht="20.25" customHeight="1">
      <c r="A21" s="157" t="s">
        <v>416</v>
      </c>
      <c r="B21" s="467" t="s">
        <v>417</v>
      </c>
      <c r="C21" s="158"/>
    </row>
    <row r="22" spans="1:3" ht="20.25" customHeight="1">
      <c r="A22" s="157" t="s">
        <v>418</v>
      </c>
      <c r="B22" s="467" t="s">
        <v>419</v>
      </c>
      <c r="C22" s="158"/>
    </row>
    <row r="23" spans="1:3" ht="20.25" customHeight="1">
      <c r="A23" s="157" t="s">
        <v>420</v>
      </c>
      <c r="B23" s="467" t="s">
        <v>421</v>
      </c>
      <c r="C23" s="158"/>
    </row>
    <row r="24" spans="1:3" ht="20.25" customHeight="1">
      <c r="A24" s="157" t="s">
        <v>422</v>
      </c>
      <c r="B24" s="467" t="s">
        <v>423</v>
      </c>
      <c r="C24" s="158"/>
    </row>
    <row r="25" spans="1:3" ht="20.25" customHeight="1">
      <c r="A25" s="157" t="s">
        <v>424</v>
      </c>
      <c r="B25" s="467" t="s">
        <v>425</v>
      </c>
      <c r="C25" s="158"/>
    </row>
    <row r="26" spans="1:3" ht="20.25" customHeight="1">
      <c r="A26" s="157" t="s">
        <v>426</v>
      </c>
      <c r="B26" s="467" t="s">
        <v>427</v>
      </c>
      <c r="C26" s="158"/>
    </row>
    <row r="27" spans="1:3" ht="20.25" customHeight="1">
      <c r="A27" s="157" t="s">
        <v>428</v>
      </c>
      <c r="B27" s="467" t="s">
        <v>429</v>
      </c>
      <c r="C27" s="158"/>
    </row>
    <row r="28" spans="1:3" ht="20.25" customHeight="1">
      <c r="A28" s="157">
        <v>16</v>
      </c>
      <c r="B28" s="467" t="s">
        <v>430</v>
      </c>
      <c r="C28" s="158"/>
    </row>
    <row r="29" spans="1:3" ht="20.25" customHeight="1">
      <c r="A29" s="362">
        <v>31</v>
      </c>
      <c r="B29" s="363" t="s">
        <v>431</v>
      </c>
      <c r="C29" s="158"/>
    </row>
    <row r="30" spans="1:3" ht="20.25" customHeight="1">
      <c r="B30" s="467" t="s">
        <v>432</v>
      </c>
      <c r="C30" s="158"/>
    </row>
    <row r="31" spans="1:3" ht="20.25" customHeight="1">
      <c r="B31" s="467" t="s">
        <v>432</v>
      </c>
      <c r="C31" s="158"/>
    </row>
    <row r="32" spans="1:3" ht="20.25" customHeight="1">
      <c r="A32" s="803"/>
      <c r="B32" s="467" t="s">
        <v>432</v>
      </c>
      <c r="C32" s="158"/>
    </row>
    <row r="33" spans="1:3" s="155" customFormat="1" ht="20.25" customHeight="1">
      <c r="A33" s="154"/>
      <c r="B33" s="466" t="s">
        <v>433</v>
      </c>
      <c r="C33" s="158">
        <f>SUM(C7:C32)</f>
        <v>0</v>
      </c>
    </row>
    <row r="34" spans="1:3" ht="20.25" customHeight="1">
      <c r="B34" s="467" t="s">
        <v>434</v>
      </c>
      <c r="C34" s="158"/>
    </row>
    <row r="35" spans="1:3" ht="20.25" customHeight="1">
      <c r="B35" s="467" t="s">
        <v>435</v>
      </c>
      <c r="C35" s="158"/>
    </row>
    <row r="36" spans="1:3" ht="20.25" customHeight="1">
      <c r="A36" s="803"/>
      <c r="B36" s="467" t="s">
        <v>436</v>
      </c>
      <c r="C36" s="158"/>
    </row>
    <row r="37" spans="1:3" s="155" customFormat="1" ht="20.25" customHeight="1">
      <c r="A37" s="466"/>
      <c r="B37" s="466" t="s">
        <v>437</v>
      </c>
      <c r="C37" s="158">
        <f>SUM(C33:C36)</f>
        <v>0</v>
      </c>
    </row>
  </sheetData>
  <phoneticPr fontId="33" type="noConversion"/>
  <printOptions horizontalCentered="1"/>
  <pageMargins left="0.75" right="0.75" top="1" bottom="1" header="0.5" footer="0.5"/>
  <pageSetup scale="94" firstPageNumber="214"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5"/>
  <sheetViews>
    <sheetView workbookViewId="0"/>
  </sheetViews>
  <sheetFormatPr defaultRowHeight="15"/>
  <cols>
    <col min="1" max="1" width="34.109375" customWidth="1"/>
    <col min="3" max="3" width="11.88671875" bestFit="1" customWidth="1"/>
    <col min="5" max="5" width="12.21875" bestFit="1" customWidth="1"/>
    <col min="7" max="7" width="12.21875" bestFit="1" customWidth="1"/>
    <col min="9" max="9" width="11.6640625" bestFit="1" customWidth="1"/>
  </cols>
  <sheetData>
    <row r="1" spans="1:9">
      <c r="A1" s="466" t="str">
        <f>'Sources and Use'!A1</f>
        <v xml:space="preserve">Project Name: </v>
      </c>
      <c r="B1" s="466"/>
      <c r="C1" s="466"/>
      <c r="D1" s="466"/>
      <c r="E1" s="466"/>
      <c r="F1" s="466"/>
      <c r="G1" s="180" t="str">
        <f>'Sources and Use'!C3</f>
        <v>Units:</v>
      </c>
      <c r="H1" s="466"/>
      <c r="I1" s="466">
        <f>'Units &amp; Income'!C24</f>
        <v>0</v>
      </c>
    </row>
    <row r="2" spans="1:9" ht="15.75">
      <c r="A2" s="466" t="str">
        <f>'Sources and Use'!A3</f>
        <v>Site:</v>
      </c>
      <c r="B2" s="179"/>
      <c r="C2" s="466"/>
      <c r="D2" s="466"/>
      <c r="E2" s="466"/>
      <c r="F2" s="466"/>
      <c r="G2" s="466"/>
      <c r="H2" s="466"/>
      <c r="I2" s="466"/>
    </row>
    <row r="3" spans="1:9" ht="33" customHeight="1">
      <c r="A3" s="485" t="s">
        <v>438</v>
      </c>
      <c r="B3" s="485"/>
      <c r="C3" s="486"/>
      <c r="D3" s="486"/>
      <c r="E3" s="486"/>
      <c r="F3" s="486"/>
      <c r="G3" s="486"/>
      <c r="H3" s="486"/>
      <c r="I3" s="486"/>
    </row>
    <row r="4" spans="1:9">
      <c r="A4" s="485" t="s">
        <v>439</v>
      </c>
      <c r="B4" s="485"/>
      <c r="C4" s="486"/>
      <c r="D4" s="486"/>
      <c r="E4" s="486"/>
      <c r="F4" s="486"/>
      <c r="G4" s="486"/>
      <c r="H4" s="486"/>
      <c r="I4" s="486"/>
    </row>
    <row r="5" spans="1:9">
      <c r="A5" s="467"/>
      <c r="B5" s="467"/>
      <c r="C5" s="162" t="s">
        <v>440</v>
      </c>
      <c r="D5" s="162"/>
      <c r="E5" s="162" t="s">
        <v>441</v>
      </c>
      <c r="F5" s="162"/>
      <c r="G5" s="162" t="s">
        <v>442</v>
      </c>
      <c r="H5" s="163"/>
      <c r="I5" s="164" t="s">
        <v>443</v>
      </c>
    </row>
    <row r="6" spans="1:9">
      <c r="A6" s="165" t="s">
        <v>444</v>
      </c>
      <c r="B6" s="465"/>
      <c r="C6" s="166" t="s">
        <v>445</v>
      </c>
      <c r="D6" s="159"/>
      <c r="E6" s="166" t="s">
        <v>445</v>
      </c>
      <c r="F6" s="159"/>
      <c r="G6" s="166" t="s">
        <v>445</v>
      </c>
      <c r="H6" s="159"/>
      <c r="I6" s="167" t="s">
        <v>446</v>
      </c>
    </row>
    <row r="7" spans="1:9">
      <c r="A7" s="154" t="s">
        <v>447</v>
      </c>
    </row>
    <row r="8" spans="1:9">
      <c r="A8" s="600" t="s">
        <v>448</v>
      </c>
    </row>
    <row r="9" spans="1:9">
      <c r="A9" s="600" t="s">
        <v>449</v>
      </c>
    </row>
    <row r="10" spans="1:9">
      <c r="A10" s="600" t="s">
        <v>450</v>
      </c>
    </row>
    <row r="11" spans="1:9">
      <c r="A11" s="600" t="s">
        <v>451</v>
      </c>
    </row>
    <row r="12" spans="1:9">
      <c r="A12" s="600" t="s">
        <v>452</v>
      </c>
    </row>
    <row r="13" spans="1:9">
      <c r="A13" s="600" t="s">
        <v>453</v>
      </c>
    </row>
    <row r="14" spans="1:9">
      <c r="A14" s="600" t="s">
        <v>454</v>
      </c>
    </row>
    <row r="15" spans="1:9">
      <c r="A15" s="600" t="s">
        <v>455</v>
      </c>
    </row>
    <row r="16" spans="1:9">
      <c r="A16" s="600"/>
    </row>
    <row r="17" spans="1:1">
      <c r="A17" s="211" t="s">
        <v>456</v>
      </c>
    </row>
    <row r="18" spans="1:1">
      <c r="A18" s="600" t="s">
        <v>457</v>
      </c>
    </row>
    <row r="19" spans="1:1">
      <c r="A19" s="600" t="s">
        <v>458</v>
      </c>
    </row>
    <row r="20" spans="1:1">
      <c r="A20" s="600" t="s">
        <v>459</v>
      </c>
    </row>
    <row r="21" spans="1:1">
      <c r="A21" s="600" t="s">
        <v>460</v>
      </c>
    </row>
    <row r="22" spans="1:1">
      <c r="A22" s="600" t="s">
        <v>461</v>
      </c>
    </row>
    <row r="23" spans="1:1">
      <c r="A23" s="600" t="s">
        <v>462</v>
      </c>
    </row>
    <row r="24" spans="1:1">
      <c r="A24" s="600" t="s">
        <v>463</v>
      </c>
    </row>
    <row r="25" spans="1:1">
      <c r="A25" s="600" t="s">
        <v>464</v>
      </c>
    </row>
    <row r="26" spans="1:1">
      <c r="A26" s="600" t="s">
        <v>465</v>
      </c>
    </row>
    <row r="27" spans="1:1">
      <c r="A27" s="600" t="s">
        <v>466</v>
      </c>
    </row>
    <row r="28" spans="1:1">
      <c r="A28" s="600"/>
    </row>
    <row r="29" spans="1:1">
      <c r="A29" s="211" t="s">
        <v>467</v>
      </c>
    </row>
    <row r="30" spans="1:1">
      <c r="A30" s="600" t="s">
        <v>468</v>
      </c>
    </row>
    <row r="31" spans="1:1">
      <c r="A31" s="600" t="s">
        <v>469</v>
      </c>
    </row>
    <row r="32" spans="1:1">
      <c r="A32" s="600" t="s">
        <v>470</v>
      </c>
    </row>
    <row r="33" spans="1:1">
      <c r="A33" s="600" t="s">
        <v>471</v>
      </c>
    </row>
    <row r="34" spans="1:1">
      <c r="A34" s="600" t="s">
        <v>472</v>
      </c>
    </row>
    <row r="35" spans="1:1">
      <c r="A35" s="600" t="s">
        <v>473</v>
      </c>
    </row>
    <row r="36" spans="1:1">
      <c r="A36" s="600" t="s">
        <v>474</v>
      </c>
    </row>
    <row r="37" spans="1:1">
      <c r="A37" s="600" t="s">
        <v>475</v>
      </c>
    </row>
    <row r="38" spans="1:1">
      <c r="A38" s="600" t="s">
        <v>475</v>
      </c>
    </row>
    <row r="39" spans="1:1">
      <c r="A39" s="600" t="s">
        <v>476</v>
      </c>
    </row>
    <row r="40" spans="1:1">
      <c r="A40" s="600" t="s">
        <v>477</v>
      </c>
    </row>
    <row r="41" spans="1:1">
      <c r="A41" s="600" t="s">
        <v>478</v>
      </c>
    </row>
    <row r="42" spans="1:1">
      <c r="A42" s="600" t="s">
        <v>479</v>
      </c>
    </row>
    <row r="43" spans="1:1">
      <c r="A43" s="600" t="s">
        <v>480</v>
      </c>
    </row>
    <row r="44" spans="1:1">
      <c r="A44" s="600" t="s">
        <v>481</v>
      </c>
    </row>
    <row r="45" spans="1:1">
      <c r="A45" s="600" t="s">
        <v>482</v>
      </c>
    </row>
    <row r="46" spans="1:1">
      <c r="A46" s="600" t="s">
        <v>483</v>
      </c>
    </row>
    <row r="47" spans="1:1">
      <c r="A47" s="600" t="s">
        <v>484</v>
      </c>
    </row>
    <row r="48" spans="1:1">
      <c r="A48" s="600" t="s">
        <v>485</v>
      </c>
    </row>
    <row r="49" spans="1:1">
      <c r="A49" s="600"/>
    </row>
    <row r="50" spans="1:1">
      <c r="A50" s="211" t="s">
        <v>486</v>
      </c>
    </row>
    <row r="51" spans="1:1">
      <c r="A51" s="600" t="s">
        <v>487</v>
      </c>
    </row>
    <row r="52" spans="1:1">
      <c r="A52" s="600" t="s">
        <v>488</v>
      </c>
    </row>
    <row r="53" spans="1:1">
      <c r="A53" s="600" t="s">
        <v>489</v>
      </c>
    </row>
    <row r="54" spans="1:1">
      <c r="A54" s="600" t="s">
        <v>490</v>
      </c>
    </row>
    <row r="55" spans="1:1">
      <c r="A55" s="600" t="s">
        <v>491</v>
      </c>
    </row>
    <row r="56" spans="1:1">
      <c r="A56" s="600"/>
    </row>
    <row r="57" spans="1:1">
      <c r="A57" s="211" t="s">
        <v>492</v>
      </c>
    </row>
    <row r="58" spans="1:1">
      <c r="A58" s="600" t="s">
        <v>493</v>
      </c>
    </row>
    <row r="59" spans="1:1">
      <c r="A59" s="600" t="s">
        <v>494</v>
      </c>
    </row>
    <row r="60" spans="1:1">
      <c r="A60" s="600" t="s">
        <v>495</v>
      </c>
    </row>
    <row r="61" spans="1:1">
      <c r="A61" s="600" t="s">
        <v>496</v>
      </c>
    </row>
    <row r="62" spans="1:1">
      <c r="A62" s="600" t="s">
        <v>497</v>
      </c>
    </row>
    <row r="63" spans="1:1">
      <c r="A63" s="600" t="s">
        <v>498</v>
      </c>
    </row>
    <row r="64" spans="1:1">
      <c r="A64" s="600" t="s">
        <v>499</v>
      </c>
    </row>
    <row r="65" spans="1:1">
      <c r="A65" s="600" t="s">
        <v>500</v>
      </c>
    </row>
    <row r="66" spans="1:1">
      <c r="A66" s="600"/>
    </row>
    <row r="67" spans="1:1">
      <c r="A67" s="211" t="s">
        <v>501</v>
      </c>
    </row>
    <row r="68" spans="1:1">
      <c r="A68" s="600"/>
    </row>
    <row r="69" spans="1:1">
      <c r="A69" s="600"/>
    </row>
    <row r="70" spans="1:1">
      <c r="A70" s="600"/>
    </row>
    <row r="71" spans="1:1">
      <c r="A71" s="600"/>
    </row>
    <row r="72" spans="1:1">
      <c r="A72" s="600"/>
    </row>
    <row r="73" spans="1:1">
      <c r="A73" s="600"/>
    </row>
    <row r="74" spans="1:1">
      <c r="A74" s="600"/>
    </row>
    <row r="75" spans="1:1">
      <c r="A75" s="600"/>
    </row>
    <row r="76" spans="1:1">
      <c r="A76" s="600"/>
    </row>
    <row r="77" spans="1:1">
      <c r="A77" s="600"/>
    </row>
    <row r="78" spans="1:1">
      <c r="A78" s="600"/>
    </row>
    <row r="79" spans="1:1">
      <c r="A79" s="600"/>
    </row>
    <row r="80" spans="1:1">
      <c r="A80" s="600"/>
    </row>
    <row r="81" spans="1:1">
      <c r="A81" s="600"/>
    </row>
    <row r="82" spans="1:1">
      <c r="A82" s="600"/>
    </row>
    <row r="83" spans="1:1">
      <c r="A83" s="600"/>
    </row>
    <row r="84" spans="1:1">
      <c r="A84" s="600"/>
    </row>
    <row r="85" spans="1:1">
      <c r="A85" s="600"/>
    </row>
    <row r="86" spans="1:1">
      <c r="A86" s="600"/>
    </row>
    <row r="87" spans="1:1">
      <c r="A87" s="600"/>
    </row>
    <row r="88" spans="1:1">
      <c r="A88" s="600"/>
    </row>
    <row r="89" spans="1:1">
      <c r="A89" s="600"/>
    </row>
    <row r="90" spans="1:1">
      <c r="A90" s="600"/>
    </row>
    <row r="91" spans="1:1">
      <c r="A91" s="600"/>
    </row>
    <row r="92" spans="1:1">
      <c r="A92" s="600"/>
    </row>
    <row r="93" spans="1:1">
      <c r="A93" s="600"/>
    </row>
    <row r="94" spans="1:1">
      <c r="A94" s="600"/>
    </row>
    <row r="95" spans="1:1">
      <c r="A95" s="600"/>
    </row>
    <row r="96" spans="1:1">
      <c r="A96" s="600"/>
    </row>
    <row r="97" spans="1:1">
      <c r="A97" s="600"/>
    </row>
    <row r="98" spans="1:1">
      <c r="A98" s="600"/>
    </row>
    <row r="99" spans="1:1">
      <c r="A99" s="600"/>
    </row>
    <row r="100" spans="1:1">
      <c r="A100" s="600"/>
    </row>
    <row r="101" spans="1:1">
      <c r="A101" s="600"/>
    </row>
    <row r="102" spans="1:1">
      <c r="A102" s="600"/>
    </row>
    <row r="103" spans="1:1">
      <c r="A103" s="600"/>
    </row>
    <row r="104" spans="1:1">
      <c r="A104" s="600"/>
    </row>
    <row r="105" spans="1:1">
      <c r="A105" s="600"/>
    </row>
    <row r="106" spans="1:1">
      <c r="A106" s="600"/>
    </row>
    <row r="107" spans="1:1">
      <c r="A107" s="600"/>
    </row>
    <row r="108" spans="1:1">
      <c r="A108" s="600"/>
    </row>
    <row r="109" spans="1:1">
      <c r="A109" s="600"/>
    </row>
    <row r="110" spans="1:1">
      <c r="A110" s="600"/>
    </row>
    <row r="111" spans="1:1">
      <c r="A111" s="600"/>
    </row>
    <row r="112" spans="1:1">
      <c r="A112" s="600"/>
    </row>
    <row r="113" spans="1:1">
      <c r="A113" s="600"/>
    </row>
    <row r="114" spans="1:1">
      <c r="A114" s="600"/>
    </row>
    <row r="115" spans="1:1">
      <c r="A115" s="600"/>
    </row>
    <row r="116" spans="1:1">
      <c r="A116" s="600"/>
    </row>
    <row r="117" spans="1:1">
      <c r="A117" s="600"/>
    </row>
    <row r="118" spans="1:1">
      <c r="A118" s="600"/>
    </row>
    <row r="119" spans="1:1">
      <c r="A119" s="600"/>
    </row>
    <row r="120" spans="1:1">
      <c r="A120" s="600"/>
    </row>
    <row r="121" spans="1:1">
      <c r="A121" s="600"/>
    </row>
    <row r="122" spans="1:1">
      <c r="A122" s="600"/>
    </row>
    <row r="123" spans="1:1">
      <c r="A123" s="600"/>
    </row>
    <row r="124" spans="1:1">
      <c r="A124" s="600"/>
    </row>
    <row r="125" spans="1:1">
      <c r="A125" s="600"/>
    </row>
  </sheetData>
  <mergeCells count="2">
    <mergeCell ref="A3:I3"/>
    <mergeCell ref="A4:I4"/>
  </mergeCells>
  <phoneticPr fontId="0"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3"/>
  <sheetViews>
    <sheetView workbookViewId="0"/>
  </sheetViews>
  <sheetFormatPr defaultColWidth="7.109375" defaultRowHeight="12.75"/>
  <cols>
    <col min="1" max="1" width="14.21875" style="153" customWidth="1"/>
    <col min="2" max="4" width="7.109375" style="153" customWidth="1"/>
    <col min="5" max="5" width="15.6640625" style="153" customWidth="1"/>
    <col min="6" max="6" width="7.109375" style="153"/>
    <col min="7" max="7" width="10.77734375" style="153" customWidth="1"/>
    <col min="8" max="16384" width="7.109375" style="153"/>
  </cols>
  <sheetData>
    <row r="1" spans="1:7" s="182" customFormat="1" ht="15.75">
      <c r="A1" s="182" t="str">
        <f>'Sources and Use'!A1</f>
        <v xml:space="preserve">Project Name: </v>
      </c>
      <c r="F1" s="182" t="str">
        <f>'Sources and Use'!C3</f>
        <v>Units:</v>
      </c>
      <c r="G1" s="182">
        <f>'Units &amp; Income'!C24</f>
        <v>0</v>
      </c>
    </row>
    <row r="2" spans="1:7" s="182" customFormat="1" ht="15.75">
      <c r="A2" s="182" t="str">
        <f>'Sources and Use'!A2</f>
        <v>Development Team:</v>
      </c>
    </row>
    <row r="3" spans="1:7" s="183" customFormat="1" ht="20.25" customHeight="1">
      <c r="A3" s="182" t="str">
        <f>'Sources and Use'!A3</f>
        <v>Site:</v>
      </c>
      <c r="B3" s="182"/>
      <c r="C3" s="182"/>
      <c r="D3" s="182"/>
      <c r="E3" s="182"/>
      <c r="F3" s="182"/>
      <c r="G3" s="182"/>
    </row>
    <row r="4" spans="1:7" ht="11.25" customHeight="1">
      <c r="A4" s="804"/>
      <c r="B4" s="467"/>
      <c r="C4" s="467"/>
      <c r="D4" s="467"/>
      <c r="E4" s="467"/>
      <c r="F4" s="467"/>
      <c r="G4" s="467"/>
    </row>
    <row r="5" spans="1:7">
      <c r="A5" s="466" t="s">
        <v>502</v>
      </c>
      <c r="B5" s="467"/>
      <c r="C5" s="467"/>
      <c r="D5" s="467"/>
      <c r="E5" s="467"/>
      <c r="F5" s="467"/>
      <c r="G5" s="467"/>
    </row>
    <row r="7" spans="1:7">
      <c r="A7" s="467" t="s">
        <v>503</v>
      </c>
      <c r="B7" s="467"/>
      <c r="C7" s="467"/>
      <c r="D7" s="467"/>
      <c r="E7" s="467"/>
      <c r="F7" s="467"/>
      <c r="G7" s="467"/>
    </row>
    <row r="9" spans="1:7" ht="20.25" customHeight="1">
      <c r="A9" s="804" t="s">
        <v>504</v>
      </c>
      <c r="B9" s="467"/>
      <c r="C9" s="467"/>
      <c r="D9" s="467"/>
      <c r="E9" s="212"/>
      <c r="F9" s="467"/>
      <c r="G9" s="467"/>
    </row>
    <row r="10" spans="1:7" ht="20.25" customHeight="1">
      <c r="A10" s="804" t="s">
        <v>505</v>
      </c>
      <c r="B10" s="467"/>
      <c r="C10" s="467"/>
      <c r="D10" s="467"/>
      <c r="E10" s="805"/>
      <c r="F10" s="467"/>
      <c r="G10" s="467"/>
    </row>
    <row r="11" spans="1:7" ht="20.25" customHeight="1">
      <c r="A11" s="804" t="s">
        <v>506</v>
      </c>
      <c r="B11" s="467"/>
      <c r="C11" s="467"/>
      <c r="D11" s="467"/>
      <c r="E11" s="805"/>
      <c r="F11" s="467"/>
      <c r="G11" s="467"/>
    </row>
    <row r="12" spans="1:7" ht="20.25" customHeight="1">
      <c r="A12" s="467"/>
      <c r="B12" s="467"/>
      <c r="C12" s="467"/>
      <c r="D12" s="467"/>
      <c r="E12" s="467"/>
      <c r="F12" s="467"/>
      <c r="G12" s="467"/>
    </row>
    <row r="13" spans="1:7" ht="18" customHeight="1">
      <c r="A13" s="467" t="s">
        <v>507</v>
      </c>
      <c r="B13" s="467"/>
      <c r="C13" s="467"/>
      <c r="D13" s="467"/>
      <c r="E13" s="160">
        <f>'Units &amp; Income'!C6</f>
        <v>0</v>
      </c>
      <c r="F13" s="467"/>
      <c r="G13" s="467"/>
    </row>
    <row r="14" spans="1:7" ht="18" customHeight="1">
      <c r="A14" s="467" t="s">
        <v>508</v>
      </c>
      <c r="B14" s="467"/>
      <c r="C14" s="467"/>
      <c r="D14" s="467"/>
      <c r="E14" s="160"/>
      <c r="F14" s="467"/>
      <c r="G14" s="467"/>
    </row>
    <row r="15" spans="1:7" ht="18" customHeight="1">
      <c r="A15" s="467" t="s">
        <v>509</v>
      </c>
      <c r="B15" s="467"/>
      <c r="C15" s="467"/>
      <c r="D15" s="467"/>
      <c r="E15" s="160"/>
      <c r="F15" s="467"/>
      <c r="G15" s="467"/>
    </row>
    <row r="16" spans="1:7" ht="18" customHeight="1">
      <c r="A16" s="467" t="s">
        <v>510</v>
      </c>
      <c r="B16" s="467"/>
      <c r="C16" s="467"/>
      <c r="D16" s="467"/>
      <c r="E16" s="160"/>
      <c r="F16" s="467"/>
      <c r="G16" s="467"/>
    </row>
    <row r="17" spans="1:5" ht="18" customHeight="1">
      <c r="A17" s="467" t="s">
        <v>511</v>
      </c>
      <c r="B17" s="467"/>
      <c r="C17" s="467"/>
      <c r="D17" s="467"/>
      <c r="E17" s="160"/>
    </row>
    <row r="18" spans="1:5" ht="18" customHeight="1">
      <c r="A18" s="467" t="s">
        <v>512</v>
      </c>
      <c r="B18" s="467"/>
      <c r="C18" s="467"/>
      <c r="D18" s="467"/>
      <c r="E18" s="160"/>
    </row>
    <row r="19" spans="1:5" ht="18" customHeight="1">
      <c r="A19" s="467" t="s">
        <v>513</v>
      </c>
      <c r="B19" s="467"/>
      <c r="C19" s="467"/>
      <c r="D19" s="467"/>
      <c r="E19" s="160">
        <f>'Units &amp; Income'!C8</f>
        <v>0</v>
      </c>
    </row>
    <row r="20" spans="1:5" ht="18" customHeight="1">
      <c r="A20" s="467" t="s">
        <v>514</v>
      </c>
      <c r="B20" s="467"/>
      <c r="C20" s="467"/>
      <c r="D20" s="467"/>
      <c r="E20" s="160">
        <f>'Units &amp; Income'!C9</f>
        <v>0</v>
      </c>
    </row>
    <row r="21" spans="1:5" ht="18" customHeight="1">
      <c r="A21" s="467" t="s">
        <v>515</v>
      </c>
      <c r="B21" s="467"/>
      <c r="C21" s="467"/>
      <c r="D21" s="467"/>
      <c r="E21" s="160"/>
    </row>
    <row r="22" spans="1:5" ht="18" customHeight="1">
      <c r="A22" s="467" t="s">
        <v>516</v>
      </c>
      <c r="B22" s="467"/>
      <c r="C22" s="467"/>
      <c r="D22" s="467"/>
      <c r="E22" s="160"/>
    </row>
    <row r="23" spans="1:5" ht="18" customHeight="1">
      <c r="A23" s="466" t="s">
        <v>517</v>
      </c>
      <c r="B23" s="467"/>
      <c r="C23" s="467"/>
      <c r="D23" s="467"/>
      <c r="E23" s="161">
        <f>SUM(E13:E22)</f>
        <v>0</v>
      </c>
    </row>
  </sheetData>
  <phoneticPr fontId="33" type="noConversion"/>
  <printOptions horizontalCentered="1"/>
  <pageMargins left="0.75" right="0.75" top="1" bottom="1" header="0.5" footer="0.5"/>
  <pageSetup firstPageNumber="215"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11706-0F30-4358-9D9D-1702700ED6F9}">
  <dimension ref="A1:G39"/>
  <sheetViews>
    <sheetView workbookViewId="0">
      <selection activeCell="B16" sqref="B16"/>
    </sheetView>
  </sheetViews>
  <sheetFormatPr defaultColWidth="9.21875" defaultRowHeight="14.25"/>
  <cols>
    <col min="1" max="1" width="23.77734375" style="426" customWidth="1"/>
    <col min="2" max="2" width="19" style="426" bestFit="1" customWidth="1"/>
    <col min="3" max="3" width="18.33203125" style="426" bestFit="1" customWidth="1"/>
    <col min="4" max="4" width="20.77734375" style="426" customWidth="1"/>
    <col min="5" max="5" width="17.6640625" style="426" customWidth="1"/>
    <col min="6" max="6" width="16.88671875" style="426" bestFit="1" customWidth="1"/>
    <col min="7" max="16384" width="9.21875" style="426"/>
  </cols>
  <sheetData>
    <row r="1" spans="1:6" ht="18">
      <c r="A1" s="425" t="s">
        <v>518</v>
      </c>
    </row>
    <row r="2" spans="1:6" ht="18">
      <c r="A2" s="425"/>
    </row>
    <row r="3" spans="1:6" ht="18">
      <c r="A3" s="427" t="s">
        <v>519</v>
      </c>
    </row>
    <row r="4" spans="1:6" ht="30" customHeight="1">
      <c r="A4" s="487" t="s">
        <v>520</v>
      </c>
      <c r="B4" s="487"/>
      <c r="C4" s="487"/>
      <c r="D4" s="487"/>
      <c r="E4" s="487"/>
      <c r="F4" s="487"/>
    </row>
    <row r="6" spans="1:6" ht="15">
      <c r="A6" s="806" t="s">
        <v>521</v>
      </c>
      <c r="B6" s="428" t="s">
        <v>522</v>
      </c>
      <c r="C6" s="428" t="s">
        <v>523</v>
      </c>
      <c r="D6" s="428" t="s">
        <v>186</v>
      </c>
      <c r="E6" s="428" t="s">
        <v>524</v>
      </c>
      <c r="F6" s="429" t="s">
        <v>525</v>
      </c>
    </row>
    <row r="7" spans="1:6">
      <c r="A7" s="430" t="s">
        <v>526</v>
      </c>
      <c r="B7" s="431"/>
      <c r="C7" s="432"/>
      <c r="D7" s="433"/>
      <c r="E7" s="433"/>
      <c r="F7" s="434"/>
    </row>
    <row r="8" spans="1:6">
      <c r="A8" s="435" t="s">
        <v>527</v>
      </c>
      <c r="B8" s="432"/>
      <c r="C8" s="432"/>
      <c r="D8" s="431"/>
      <c r="E8" s="431"/>
      <c r="F8" s="436"/>
    </row>
    <row r="9" spans="1:6">
      <c r="A9" s="437"/>
      <c r="B9" s="438"/>
      <c r="C9" s="438"/>
      <c r="D9" s="438"/>
      <c r="E9" s="438"/>
      <c r="F9" s="439"/>
    </row>
    <row r="10" spans="1:6">
      <c r="A10" s="430" t="s">
        <v>528</v>
      </c>
      <c r="B10" s="440">
        <v>0</v>
      </c>
      <c r="C10" s="440">
        <v>0</v>
      </c>
      <c r="D10" s="440">
        <v>0</v>
      </c>
      <c r="E10" s="440">
        <v>0</v>
      </c>
      <c r="F10" s="441">
        <v>0</v>
      </c>
    </row>
    <row r="11" spans="1:6">
      <c r="A11" s="430" t="s">
        <v>529</v>
      </c>
      <c r="B11" s="442">
        <f>B10*95%</f>
        <v>0</v>
      </c>
      <c r="C11" s="442">
        <f>C10*95%</f>
        <v>0</v>
      </c>
      <c r="D11" s="442">
        <f>D10*0.9</f>
        <v>0</v>
      </c>
      <c r="E11" s="442">
        <f>E10*0.9</f>
        <v>0</v>
      </c>
      <c r="F11" s="443">
        <f>F10*0.9</f>
        <v>0</v>
      </c>
    </row>
    <row r="12" spans="1:6">
      <c r="A12" s="430"/>
      <c r="B12" s="444"/>
      <c r="C12" s="444"/>
      <c r="D12" s="444"/>
      <c r="E12" s="444"/>
      <c r="F12" s="445"/>
    </row>
    <row r="13" spans="1:6">
      <c r="A13" s="430" t="s">
        <v>530</v>
      </c>
      <c r="B13" s="440">
        <v>0</v>
      </c>
      <c r="C13" s="440">
        <v>0</v>
      </c>
      <c r="D13" s="440">
        <v>0</v>
      </c>
      <c r="E13" s="440">
        <v>0</v>
      </c>
      <c r="F13" s="441">
        <v>0</v>
      </c>
    </row>
    <row r="14" spans="1:6">
      <c r="A14" s="430"/>
      <c r="B14" s="446"/>
      <c r="C14" s="444"/>
      <c r="D14" s="444"/>
      <c r="E14" s="444"/>
      <c r="F14" s="445"/>
    </row>
    <row r="15" spans="1:6">
      <c r="A15" s="430" t="s">
        <v>531</v>
      </c>
      <c r="B15" s="442">
        <f>B11-B13</f>
        <v>0</v>
      </c>
      <c r="C15" s="442">
        <f>C11-C13</f>
        <v>0</v>
      </c>
      <c r="D15" s="442">
        <f>D11-D13</f>
        <v>0</v>
      </c>
      <c r="E15" s="442">
        <f>E11-E13</f>
        <v>0</v>
      </c>
      <c r="F15" s="443">
        <f>F11-F13</f>
        <v>0</v>
      </c>
    </row>
    <row r="16" spans="1:6">
      <c r="A16" s="430" t="s">
        <v>532</v>
      </c>
      <c r="B16" s="442">
        <f>B15/1.15</f>
        <v>0</v>
      </c>
      <c r="C16" s="442">
        <f>C15/1.15</f>
        <v>0</v>
      </c>
      <c r="D16" s="442">
        <f>D15/1.15</f>
        <v>0</v>
      </c>
      <c r="E16" s="442">
        <f>E15/1.15</f>
        <v>0</v>
      </c>
      <c r="F16" s="443">
        <f>F15/1.15</f>
        <v>0</v>
      </c>
    </row>
    <row r="17" spans="1:6">
      <c r="A17" s="430"/>
      <c r="B17" s="444"/>
      <c r="C17" s="444"/>
      <c r="D17" s="444"/>
      <c r="E17" s="444"/>
      <c r="F17" s="445"/>
    </row>
    <row r="18" spans="1:6">
      <c r="A18" s="430" t="s">
        <v>533</v>
      </c>
      <c r="B18" s="447">
        <v>0</v>
      </c>
      <c r="C18" s="447">
        <v>0</v>
      </c>
      <c r="D18" s="447">
        <v>0</v>
      </c>
      <c r="E18" s="447">
        <v>0</v>
      </c>
      <c r="F18" s="447">
        <v>0</v>
      </c>
    </row>
    <row r="19" spans="1:6">
      <c r="A19" s="430" t="s">
        <v>534</v>
      </c>
      <c r="B19" s="433">
        <v>0</v>
      </c>
      <c r="C19" s="433">
        <v>0</v>
      </c>
      <c r="D19" s="433">
        <v>0</v>
      </c>
      <c r="E19" s="433">
        <v>0</v>
      </c>
      <c r="F19" s="433">
        <v>0</v>
      </c>
    </row>
    <row r="20" spans="1:6">
      <c r="A20" s="430"/>
      <c r="B20" s="444"/>
      <c r="C20" s="444"/>
      <c r="D20" s="444"/>
      <c r="E20" s="444"/>
      <c r="F20" s="445"/>
    </row>
    <row r="21" spans="1:6">
      <c r="A21" s="430" t="s">
        <v>535</v>
      </c>
      <c r="B21" s="442">
        <f>-PV(B18/12,B19*12,B16/12)</f>
        <v>0</v>
      </c>
      <c r="C21" s="442">
        <f t="shared" ref="C21:F21" si="0">-PV(C18/12,C19*12,C16/12)</f>
        <v>0</v>
      </c>
      <c r="D21" s="442">
        <f t="shared" si="0"/>
        <v>0</v>
      </c>
      <c r="E21" s="442">
        <f t="shared" si="0"/>
        <v>0</v>
      </c>
      <c r="F21" s="443">
        <f t="shared" si="0"/>
        <v>0</v>
      </c>
    </row>
    <row r="22" spans="1:6">
      <c r="A22" s="430" t="s">
        <v>536</v>
      </c>
      <c r="B22" s="440">
        <v>0</v>
      </c>
      <c r="C22" s="440">
        <v>0</v>
      </c>
      <c r="D22" s="440">
        <v>0</v>
      </c>
      <c r="E22" s="448">
        <v>0</v>
      </c>
      <c r="F22" s="449">
        <v>0</v>
      </c>
    </row>
    <row r="23" spans="1:6" ht="15">
      <c r="A23" s="450" t="s">
        <v>537</v>
      </c>
      <c r="B23" s="451">
        <f>SUM(B21:B22)</f>
        <v>0</v>
      </c>
      <c r="C23" s="451">
        <f t="shared" ref="C23:F23" si="1">SUM(C21:C22)</f>
        <v>0</v>
      </c>
      <c r="D23" s="451">
        <f t="shared" si="1"/>
        <v>0</v>
      </c>
      <c r="E23" s="451">
        <f t="shared" si="1"/>
        <v>0</v>
      </c>
      <c r="F23" s="452">
        <f t="shared" si="1"/>
        <v>0</v>
      </c>
    </row>
    <row r="24" spans="1:6">
      <c r="A24" s="453"/>
      <c r="B24" s="444"/>
      <c r="C24" s="444"/>
      <c r="D24" s="444"/>
      <c r="E24" s="444"/>
      <c r="F24" s="445"/>
    </row>
    <row r="25" spans="1:6">
      <c r="A25" s="430" t="s">
        <v>538</v>
      </c>
      <c r="B25" s="440">
        <v>0</v>
      </c>
      <c r="C25" s="440">
        <v>0</v>
      </c>
      <c r="D25" s="440">
        <v>0</v>
      </c>
      <c r="E25" s="440">
        <v>0</v>
      </c>
      <c r="F25" s="441">
        <v>0</v>
      </c>
    </row>
    <row r="26" spans="1:6">
      <c r="A26" s="430" t="s">
        <v>539</v>
      </c>
      <c r="B26" s="440">
        <v>0</v>
      </c>
      <c r="C26" s="440">
        <v>0</v>
      </c>
      <c r="D26" s="440">
        <v>0</v>
      </c>
      <c r="E26" s="440">
        <v>0</v>
      </c>
      <c r="F26" s="441">
        <v>0</v>
      </c>
    </row>
    <row r="27" spans="1:6">
      <c r="A27" s="430" t="s">
        <v>540</v>
      </c>
      <c r="B27" s="440">
        <v>0</v>
      </c>
      <c r="C27" s="440">
        <v>0</v>
      </c>
      <c r="D27" s="440">
        <v>0</v>
      </c>
      <c r="E27" s="440">
        <v>0</v>
      </c>
      <c r="F27" s="441">
        <v>0</v>
      </c>
    </row>
    <row r="28" spans="1:6">
      <c r="A28" s="430" t="s">
        <v>541</v>
      </c>
      <c r="B28" s="440">
        <v>0</v>
      </c>
      <c r="C28" s="440">
        <v>0</v>
      </c>
      <c r="D28" s="440">
        <v>0</v>
      </c>
      <c r="E28" s="440">
        <v>0</v>
      </c>
      <c r="F28" s="441">
        <v>0</v>
      </c>
    </row>
    <row r="29" spans="1:6" ht="15">
      <c r="A29" s="807" t="s">
        <v>542</v>
      </c>
      <c r="B29" s="808">
        <f>SUM(B25:B28)</f>
        <v>0</v>
      </c>
      <c r="C29" s="808">
        <f>SUM(C25:C28)</f>
        <v>0</v>
      </c>
      <c r="D29" s="808">
        <f>SUM(D25:D28)</f>
        <v>0</v>
      </c>
      <c r="E29" s="808">
        <f>SUM(E25:E28)</f>
        <v>0</v>
      </c>
      <c r="F29" s="809">
        <f t="shared" ref="F29" si="2">SUM(F25:F28)</f>
        <v>0</v>
      </c>
    </row>
    <row r="31" spans="1:6" ht="15">
      <c r="A31" s="454" t="s">
        <v>543</v>
      </c>
      <c r="B31" s="455">
        <f>B23-B29</f>
        <v>0</v>
      </c>
      <c r="C31" s="455">
        <f>C23-C29</f>
        <v>0</v>
      </c>
      <c r="D31" s="456">
        <f>D23-D29</f>
        <v>0</v>
      </c>
      <c r="E31" s="456">
        <f>E23-E29</f>
        <v>0</v>
      </c>
      <c r="F31" s="457">
        <f>F23-F29</f>
        <v>0</v>
      </c>
    </row>
    <row r="33" spans="1:7" ht="15">
      <c r="A33" s="810" t="s">
        <v>544</v>
      </c>
      <c r="B33" s="811">
        <f>B31+D31+E31+F31</f>
        <v>0</v>
      </c>
    </row>
    <row r="34" spans="1:7" ht="30">
      <c r="A34" s="812" t="s">
        <v>545</v>
      </c>
      <c r="B34" s="813" t="e">
        <f>B33/C7</f>
        <v>#DIV/0!</v>
      </c>
    </row>
    <row r="36" spans="1:7" ht="15">
      <c r="A36" s="458"/>
      <c r="B36" s="458"/>
      <c r="C36" s="458"/>
      <c r="D36" s="459"/>
      <c r="E36" s="459"/>
      <c r="F36" s="459"/>
      <c r="G36" s="459"/>
    </row>
    <row r="37" spans="1:7">
      <c r="A37" s="460"/>
      <c r="B37" s="460"/>
      <c r="C37" s="460"/>
    </row>
    <row r="38" spans="1:7">
      <c r="A38" s="460"/>
      <c r="B38" s="460"/>
      <c r="C38" s="460"/>
    </row>
    <row r="39" spans="1:7">
      <c r="A39" s="460"/>
      <c r="B39" s="460"/>
      <c r="C39" s="460"/>
    </row>
  </sheetData>
  <mergeCells count="1">
    <mergeCell ref="A4:F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560F9-E397-49DA-8C11-13B008B3B0F2}">
  <sheetPr>
    <pageSetUpPr fitToPage="1"/>
  </sheetPr>
  <dimension ref="A1:Z114"/>
  <sheetViews>
    <sheetView workbookViewId="0"/>
  </sheetViews>
  <sheetFormatPr defaultColWidth="8.6640625" defaultRowHeight="15"/>
  <cols>
    <col min="1" max="4" width="10.5546875" style="364" customWidth="1"/>
    <col min="5" max="5" width="12.33203125" style="365" customWidth="1"/>
    <col min="6" max="7" width="10.5546875" style="365" customWidth="1"/>
    <col min="8" max="9" width="10.5546875" style="364" customWidth="1"/>
    <col min="10" max="10" width="1.109375" style="364" customWidth="1"/>
    <col min="11" max="12" width="10.5546875" style="364" customWidth="1"/>
    <col min="13" max="13" width="16.21875" style="364" customWidth="1"/>
    <col min="14" max="15" width="10.33203125" style="364" customWidth="1"/>
    <col min="16" max="16" width="3.33203125" style="364" customWidth="1"/>
    <col min="17" max="16384" width="8.6640625" style="364"/>
  </cols>
  <sheetData>
    <row r="1" spans="1:13" ht="15.75">
      <c r="A1" s="297" t="s">
        <v>546</v>
      </c>
      <c r="F1" s="366"/>
      <c r="G1" s="366"/>
    </row>
    <row r="2" spans="1:13" ht="15.75">
      <c r="A2" s="297"/>
      <c r="F2" s="366"/>
      <c r="G2" s="364"/>
    </row>
    <row r="3" spans="1:13">
      <c r="A3" s="367"/>
      <c r="B3" s="367"/>
      <c r="C3" s="367"/>
      <c r="D3" s="367"/>
      <c r="E3" s="495" t="s">
        <v>547</v>
      </c>
      <c r="F3" s="495" t="s">
        <v>548</v>
      </c>
      <c r="G3" s="495" t="s">
        <v>210</v>
      </c>
      <c r="H3" s="495" t="s">
        <v>549</v>
      </c>
      <c r="I3" s="367"/>
      <c r="J3" s="367"/>
      <c r="K3" s="367"/>
      <c r="L3" s="367"/>
      <c r="M3" s="367"/>
    </row>
    <row r="4" spans="1:13" ht="31.5" customHeight="1">
      <c r="E4" s="814"/>
      <c r="F4" s="814"/>
      <c r="G4" s="814"/>
      <c r="H4" s="814"/>
    </row>
    <row r="5" spans="1:13" ht="15.75">
      <c r="A5" s="815">
        <v>162000</v>
      </c>
      <c r="B5" s="366" t="s">
        <v>550</v>
      </c>
      <c r="D5" s="299" t="s">
        <v>200</v>
      </c>
      <c r="E5" s="816">
        <v>111</v>
      </c>
      <c r="F5" s="816">
        <v>96</v>
      </c>
      <c r="G5" s="816">
        <v>26</v>
      </c>
      <c r="H5" s="817">
        <f>F5+G5</f>
        <v>122</v>
      </c>
      <c r="I5" s="368"/>
      <c r="K5" s="369"/>
    </row>
    <row r="6" spans="1:13" ht="15.75">
      <c r="A6" s="815">
        <v>2780</v>
      </c>
      <c r="B6" s="370" t="s">
        <v>202</v>
      </c>
      <c r="D6" s="299" t="s">
        <v>204</v>
      </c>
      <c r="E6" s="816">
        <v>127</v>
      </c>
      <c r="F6" s="816">
        <v>109</v>
      </c>
      <c r="G6" s="816">
        <v>29</v>
      </c>
      <c r="H6" s="817">
        <f t="shared" ref="H6:H10" si="0">F6+G6</f>
        <v>138</v>
      </c>
      <c r="I6" s="368"/>
      <c r="K6" s="369"/>
    </row>
    <row r="7" spans="1:13" ht="15.75">
      <c r="A7" s="818">
        <v>0.3</v>
      </c>
      <c r="B7" s="364" t="s">
        <v>551</v>
      </c>
      <c r="D7" s="299" t="s">
        <v>206</v>
      </c>
      <c r="E7" s="816">
        <v>170</v>
      </c>
      <c r="F7" s="816">
        <v>144</v>
      </c>
      <c r="G7" s="816">
        <v>33</v>
      </c>
      <c r="H7" s="817">
        <f t="shared" si="0"/>
        <v>177</v>
      </c>
      <c r="I7" s="368"/>
      <c r="K7" s="369"/>
    </row>
    <row r="8" spans="1:13" ht="15.75">
      <c r="D8" s="299" t="s">
        <v>209</v>
      </c>
      <c r="E8" s="816">
        <v>212</v>
      </c>
      <c r="F8" s="816">
        <v>178</v>
      </c>
      <c r="G8" s="816">
        <v>37</v>
      </c>
      <c r="H8" s="817">
        <f t="shared" si="0"/>
        <v>215</v>
      </c>
      <c r="I8" s="368"/>
      <c r="K8" s="369"/>
    </row>
    <row r="9" spans="1:13" ht="15.75">
      <c r="D9" s="299" t="s">
        <v>552</v>
      </c>
      <c r="E9" s="816">
        <v>255</v>
      </c>
      <c r="F9" s="816">
        <v>213</v>
      </c>
      <c r="G9" s="816">
        <v>41</v>
      </c>
      <c r="H9" s="817">
        <f t="shared" si="0"/>
        <v>254</v>
      </c>
      <c r="I9" s="368"/>
      <c r="K9" s="369"/>
    </row>
    <row r="10" spans="1:13" ht="15.75">
      <c r="D10" s="299" t="s">
        <v>553</v>
      </c>
      <c r="E10" s="816">
        <v>298</v>
      </c>
      <c r="F10" s="816">
        <v>248</v>
      </c>
      <c r="G10" s="816">
        <v>45</v>
      </c>
      <c r="H10" s="817">
        <f t="shared" si="0"/>
        <v>293</v>
      </c>
      <c r="I10" s="368"/>
      <c r="K10" s="369"/>
    </row>
    <row r="11" spans="1:13" ht="14.25" customHeight="1">
      <c r="E11" s="364"/>
      <c r="F11" s="364"/>
      <c r="G11" s="364"/>
    </row>
    <row r="12" spans="1:13" ht="23.25" customHeight="1">
      <c r="D12" s="299" t="s">
        <v>554</v>
      </c>
      <c r="E12" s="819">
        <v>45658</v>
      </c>
      <c r="F12" s="366" t="s">
        <v>555</v>
      </c>
    </row>
    <row r="13" spans="1:13" ht="15.75">
      <c r="A13" s="496" t="s">
        <v>556</v>
      </c>
      <c r="B13" s="496"/>
      <c r="C13" s="496"/>
      <c r="E13" s="364"/>
      <c r="F13" s="364"/>
      <c r="G13" s="364"/>
    </row>
    <row r="14" spans="1:13" ht="15.75">
      <c r="A14" s="494" t="s">
        <v>557</v>
      </c>
      <c r="B14" s="494"/>
      <c r="C14" s="494"/>
      <c r="E14" s="364"/>
      <c r="F14" s="364"/>
      <c r="G14" s="364"/>
    </row>
    <row r="15" spans="1:13" ht="15.75">
      <c r="A15" s="371" t="s">
        <v>558</v>
      </c>
      <c r="E15" s="364"/>
      <c r="F15" s="364"/>
      <c r="G15" s="364"/>
    </row>
    <row r="16" spans="1:13" ht="15.75">
      <c r="A16" s="297"/>
      <c r="F16" s="366"/>
      <c r="M16" s="820"/>
    </row>
    <row r="17" spans="1:26" ht="15.75">
      <c r="A17" s="818">
        <v>0.27</v>
      </c>
      <c r="B17" s="372" t="s">
        <v>559</v>
      </c>
      <c r="C17" s="817">
        <f>IF($A$17=50%,CEILING(MROUND(MROUND($A$5*50%,50)*$A$17/50%,50)*L23,50),CEILING(MROUND($A$5*50%,50)*L23,50)*$A$17/50%)*0+M23</f>
        <v>43740</v>
      </c>
      <c r="D17" s="373" t="s">
        <v>550</v>
      </c>
      <c r="E17" s="367"/>
      <c r="F17" s="367"/>
      <c r="G17" s="367"/>
      <c r="H17" s="367"/>
      <c r="I17" s="367"/>
      <c r="J17" s="367"/>
      <c r="K17" s="367"/>
      <c r="L17" s="367"/>
    </row>
    <row r="18" spans="1:26">
      <c r="E18" s="821" t="s">
        <v>560</v>
      </c>
      <c r="F18" s="821" t="s">
        <v>560</v>
      </c>
      <c r="G18" s="821" t="s">
        <v>560</v>
      </c>
      <c r="H18" s="821" t="s">
        <v>560</v>
      </c>
      <c r="I18" s="821" t="s">
        <v>560</v>
      </c>
      <c r="K18" s="374"/>
      <c r="L18" s="375"/>
      <c r="M18" s="376" t="s">
        <v>297</v>
      </c>
    </row>
    <row r="19" spans="1:26" ht="15.75">
      <c r="A19" s="377"/>
      <c r="B19" s="378"/>
      <c r="C19" s="378"/>
      <c r="D19" s="378"/>
      <c r="E19" s="488" t="s">
        <v>201</v>
      </c>
      <c r="F19" s="822" t="s">
        <v>561</v>
      </c>
      <c r="G19" s="822" t="s">
        <v>547</v>
      </c>
      <c r="H19" s="490" t="s">
        <v>562</v>
      </c>
      <c r="I19" s="492" t="s">
        <v>563</v>
      </c>
      <c r="J19" s="365"/>
      <c r="K19" s="379" t="s">
        <v>564</v>
      </c>
      <c r="L19" s="380" t="s">
        <v>565</v>
      </c>
      <c r="M19" s="381" t="s">
        <v>566</v>
      </c>
    </row>
    <row r="20" spans="1:26" ht="15.75">
      <c r="A20" s="382"/>
      <c r="B20" s="383"/>
      <c r="C20" s="383"/>
      <c r="D20" s="384" t="s">
        <v>297</v>
      </c>
      <c r="E20" s="489"/>
      <c r="F20" s="822"/>
      <c r="G20" s="822"/>
      <c r="H20" s="491"/>
      <c r="I20" s="493"/>
      <c r="J20" s="385"/>
      <c r="K20" s="823">
        <f t="shared" ref="K20:K25" si="1">K21-1</f>
        <v>1</v>
      </c>
      <c r="L20" s="824">
        <v>0.7</v>
      </c>
      <c r="M20" s="817">
        <v>30618.000000000004</v>
      </c>
      <c r="N20" s="386"/>
      <c r="O20" s="369"/>
    </row>
    <row r="21" spans="1:26" ht="30.95" customHeight="1">
      <c r="A21" s="825"/>
      <c r="B21" s="826" t="s">
        <v>217</v>
      </c>
      <c r="C21" s="827" t="s">
        <v>218</v>
      </c>
      <c r="D21" s="828" t="s">
        <v>566</v>
      </c>
      <c r="E21" s="829"/>
      <c r="F21" s="822"/>
      <c r="G21" s="822"/>
      <c r="H21" s="830"/>
      <c r="I21" s="831"/>
      <c r="J21" s="300"/>
      <c r="K21" s="823">
        <f t="shared" si="1"/>
        <v>2</v>
      </c>
      <c r="L21" s="824">
        <f>L20+0.1</f>
        <v>0.79999999999999993</v>
      </c>
      <c r="M21" s="817">
        <v>34992</v>
      </c>
      <c r="N21" s="386"/>
      <c r="O21" s="369"/>
    </row>
    <row r="22" spans="1:26" ht="15.75">
      <c r="A22" s="823" t="s">
        <v>200</v>
      </c>
      <c r="B22" s="832">
        <v>1</v>
      </c>
      <c r="C22" s="833">
        <f>IF(AND(A17&lt;=60%,$A$14="New Construction/Special Needs"),0.6,(IF(AND(A17&lt;&gt;60%,$A$14="Preservation/Rehab"),0.7,(IF(AND(A17=60%,$A$14="Preservation/Rehab"),0.7,0.6)))))</f>
        <v>0.6</v>
      </c>
      <c r="D22" s="834">
        <f>IF($A$14="Preservation/Rehab",M20,CEILING(MROUND($A$5*50%,50)*C22,50)*$A$17/50%)</f>
        <v>26244</v>
      </c>
      <c r="E22" s="817">
        <f>ROUNDDOWN(D22*$A$7/12,0)</f>
        <v>656</v>
      </c>
      <c r="F22" s="835">
        <f>E22-VLOOKUP(A22,$D$5:$H$10,3,FALSE)</f>
        <v>560</v>
      </c>
      <c r="G22" s="836">
        <f>E22-VLOOKUP(A22,$D$5:$G$10,2,FALSE)</f>
        <v>545</v>
      </c>
      <c r="H22" s="817">
        <f>E22-VLOOKUP(A22,$D$5:$H$10,4,FALSE)</f>
        <v>630</v>
      </c>
      <c r="I22" s="817">
        <f>E22-VLOOKUP(A22,$D$5:$H$10,5,FALSE)</f>
        <v>534</v>
      </c>
      <c r="J22" s="387"/>
      <c r="K22" s="823">
        <f t="shared" si="1"/>
        <v>3</v>
      </c>
      <c r="L22" s="824">
        <f>L21+0.1</f>
        <v>0.89999999999999991</v>
      </c>
      <c r="M22" s="817">
        <v>39366</v>
      </c>
      <c r="N22" s="386"/>
      <c r="O22" s="369"/>
    </row>
    <row r="23" spans="1:26" ht="15.75">
      <c r="A23" s="823" t="s">
        <v>204</v>
      </c>
      <c r="B23" s="832">
        <v>1.5</v>
      </c>
      <c r="C23" s="833">
        <v>0.75</v>
      </c>
      <c r="D23" s="834">
        <f>AVERAGE(M20:M21)</f>
        <v>32805</v>
      </c>
      <c r="E23" s="817">
        <f t="shared" ref="E23:E27" si="2">ROUNDDOWN(D23*$A$7/12,0)</f>
        <v>820</v>
      </c>
      <c r="F23" s="835">
        <f t="shared" ref="F23:F27" si="3">E23-VLOOKUP(A23,$D$5:$H$10,3,FALSE)</f>
        <v>711</v>
      </c>
      <c r="G23" s="836">
        <f t="shared" ref="G23:G27" si="4">E23-VLOOKUP(A23,$D$5:$G$10,2,FALSE)</f>
        <v>693</v>
      </c>
      <c r="H23" s="817">
        <f t="shared" ref="H23:H27" si="5">E23-VLOOKUP(A23,$D$5:$H$10,4,FALSE)</f>
        <v>791</v>
      </c>
      <c r="I23" s="817">
        <f t="shared" ref="I23:I27" si="6">E23-VLOOKUP(A23,$D$5:$H$10,5,FALSE)</f>
        <v>682</v>
      </c>
      <c r="J23" s="387"/>
      <c r="K23" s="823">
        <f t="shared" si="1"/>
        <v>4</v>
      </c>
      <c r="L23" s="824">
        <f>L22+0.1</f>
        <v>0.99999999999999989</v>
      </c>
      <c r="M23" s="817">
        <v>43740</v>
      </c>
      <c r="N23" s="386"/>
      <c r="O23" s="369"/>
      <c r="R23" s="388"/>
      <c r="S23" s="388"/>
      <c r="T23" s="388"/>
      <c r="U23" s="388"/>
      <c r="V23" s="388"/>
      <c r="W23" s="388"/>
      <c r="X23" s="388"/>
      <c r="Y23" s="388"/>
      <c r="Z23" s="388"/>
    </row>
    <row r="24" spans="1:26" ht="15.75">
      <c r="A24" s="823" t="s">
        <v>206</v>
      </c>
      <c r="B24" s="832">
        <v>3</v>
      </c>
      <c r="C24" s="833">
        <v>0.9</v>
      </c>
      <c r="D24" s="834">
        <f>M22</f>
        <v>39366</v>
      </c>
      <c r="E24" s="817">
        <f t="shared" si="2"/>
        <v>984</v>
      </c>
      <c r="F24" s="835">
        <f t="shared" si="3"/>
        <v>840</v>
      </c>
      <c r="G24" s="836">
        <f t="shared" si="4"/>
        <v>814</v>
      </c>
      <c r="H24" s="817">
        <f t="shared" si="5"/>
        <v>951</v>
      </c>
      <c r="I24" s="817">
        <f t="shared" si="6"/>
        <v>807</v>
      </c>
      <c r="J24" s="387"/>
      <c r="K24" s="823">
        <f t="shared" si="1"/>
        <v>5</v>
      </c>
      <c r="L24" s="824">
        <f>L23+0.08</f>
        <v>1.0799999999999998</v>
      </c>
      <c r="M24" s="817">
        <v>47250</v>
      </c>
      <c r="N24" s="386"/>
      <c r="O24" s="369"/>
      <c r="R24" s="388"/>
      <c r="S24" s="388"/>
      <c r="T24" s="388"/>
      <c r="U24" s="388"/>
      <c r="V24" s="388"/>
      <c r="W24" s="388"/>
      <c r="X24" s="388"/>
      <c r="Y24" s="388"/>
      <c r="Z24" s="388"/>
    </row>
    <row r="25" spans="1:26" ht="15.75">
      <c r="A25" s="823" t="s">
        <v>209</v>
      </c>
      <c r="B25" s="832">
        <v>4.5</v>
      </c>
      <c r="C25" s="833">
        <v>1.04</v>
      </c>
      <c r="D25" s="834">
        <f>AVERAGE(M23:M24)</f>
        <v>45495</v>
      </c>
      <c r="E25" s="817">
        <f t="shared" si="2"/>
        <v>1137</v>
      </c>
      <c r="F25" s="835">
        <f t="shared" si="3"/>
        <v>959</v>
      </c>
      <c r="G25" s="836">
        <f t="shared" si="4"/>
        <v>925</v>
      </c>
      <c r="H25" s="817">
        <f t="shared" si="5"/>
        <v>1100</v>
      </c>
      <c r="I25" s="817">
        <f t="shared" si="6"/>
        <v>922</v>
      </c>
      <c r="J25" s="387"/>
      <c r="K25" s="823">
        <f t="shared" si="1"/>
        <v>6</v>
      </c>
      <c r="L25" s="824">
        <f>L24+0.08</f>
        <v>1.1599999999999999</v>
      </c>
      <c r="M25" s="817">
        <v>50760</v>
      </c>
      <c r="N25" s="386"/>
      <c r="O25" s="369"/>
      <c r="R25" s="388"/>
      <c r="S25" s="388"/>
      <c r="T25" s="388"/>
      <c r="U25" s="388"/>
      <c r="V25" s="388"/>
      <c r="W25" s="388"/>
      <c r="X25" s="388"/>
      <c r="Y25" s="388"/>
      <c r="Z25" s="388"/>
    </row>
    <row r="26" spans="1:26" ht="15.75">
      <c r="A26" s="823" t="s">
        <v>552</v>
      </c>
      <c r="B26" s="832">
        <v>6</v>
      </c>
      <c r="C26" s="833">
        <v>1.1599999999999999</v>
      </c>
      <c r="D26" s="834">
        <f>M25</f>
        <v>50760</v>
      </c>
      <c r="E26" s="817">
        <f t="shared" si="2"/>
        <v>1269</v>
      </c>
      <c r="F26" s="835">
        <f t="shared" si="3"/>
        <v>1056</v>
      </c>
      <c r="G26" s="836">
        <f t="shared" si="4"/>
        <v>1014</v>
      </c>
      <c r="H26" s="817">
        <f t="shared" si="5"/>
        <v>1228</v>
      </c>
      <c r="I26" s="817">
        <f t="shared" si="6"/>
        <v>1015</v>
      </c>
      <c r="J26" s="387"/>
      <c r="K26" s="823">
        <f>K27-1</f>
        <v>7</v>
      </c>
      <c r="L26" s="824">
        <f>L25+0.08</f>
        <v>1.24</v>
      </c>
      <c r="M26" s="817">
        <v>54243</v>
      </c>
      <c r="N26" s="386"/>
      <c r="O26" s="369"/>
      <c r="R26" s="388"/>
      <c r="S26" s="388"/>
      <c r="T26" s="388"/>
      <c r="U26" s="388"/>
    </row>
    <row r="27" spans="1:26" ht="15.75">
      <c r="A27" s="823" t="s">
        <v>553</v>
      </c>
      <c r="B27" s="832">
        <v>7.5</v>
      </c>
      <c r="C27" s="833">
        <f>1.28</f>
        <v>1.28</v>
      </c>
      <c r="D27" s="834">
        <f>AVERAGE(M26:M27)</f>
        <v>55998</v>
      </c>
      <c r="E27" s="817">
        <f t="shared" si="2"/>
        <v>1399</v>
      </c>
      <c r="F27" s="835">
        <f t="shared" si="3"/>
        <v>1151</v>
      </c>
      <c r="G27" s="836">
        <f t="shared" si="4"/>
        <v>1101</v>
      </c>
      <c r="H27" s="817">
        <f t="shared" si="5"/>
        <v>1354</v>
      </c>
      <c r="I27" s="817">
        <f t="shared" si="6"/>
        <v>1106</v>
      </c>
      <c r="J27" s="387"/>
      <c r="K27" s="823">
        <v>8</v>
      </c>
      <c r="L27" s="824">
        <f>L26+0.08</f>
        <v>1.32</v>
      </c>
      <c r="M27" s="817">
        <v>57753.000000000007</v>
      </c>
      <c r="N27" s="386"/>
      <c r="O27" s="369"/>
      <c r="R27" s="388"/>
      <c r="S27" s="388"/>
      <c r="T27" s="388"/>
      <c r="U27" s="388"/>
    </row>
    <row r="28" spans="1:26" ht="15.75">
      <c r="A28" s="297"/>
      <c r="F28" s="366"/>
    </row>
    <row r="29" spans="1:26" ht="15.75">
      <c r="A29" s="818">
        <v>0.37</v>
      </c>
      <c r="B29" s="372" t="s">
        <v>559</v>
      </c>
      <c r="C29" s="817">
        <f>IF($A$29=50%,CEILING(MROUND(MROUND($A$5*50%,50)*$A$29/50%,50)*L35,50),CEILING(MROUND($A$5*50%,50)*L35,50)*$A$29/50%)*0+M35</f>
        <v>59940</v>
      </c>
      <c r="D29" s="373" t="s">
        <v>550</v>
      </c>
      <c r="E29" s="367"/>
      <c r="F29" s="367"/>
      <c r="G29" s="367"/>
      <c r="H29" s="367"/>
      <c r="I29" s="367"/>
      <c r="J29" s="367"/>
      <c r="K29" s="367"/>
      <c r="L29" s="367"/>
    </row>
    <row r="30" spans="1:26">
      <c r="E30" s="821" t="s">
        <v>560</v>
      </c>
      <c r="F30" s="821" t="s">
        <v>560</v>
      </c>
      <c r="G30" s="821" t="s">
        <v>560</v>
      </c>
      <c r="H30" s="821" t="s">
        <v>560</v>
      </c>
      <c r="I30" s="821" t="s">
        <v>560</v>
      </c>
      <c r="K30" s="374"/>
      <c r="L30" s="375"/>
      <c r="M30" s="376" t="s">
        <v>297</v>
      </c>
    </row>
    <row r="31" spans="1:26" ht="15.75" customHeight="1">
      <c r="A31" s="377"/>
      <c r="B31" s="378"/>
      <c r="C31" s="378"/>
      <c r="D31" s="378"/>
      <c r="E31" s="488" t="s">
        <v>201</v>
      </c>
      <c r="F31" s="822" t="s">
        <v>561</v>
      </c>
      <c r="G31" s="822" t="s">
        <v>547</v>
      </c>
      <c r="H31" s="490" t="s">
        <v>562</v>
      </c>
      <c r="I31" s="492" t="s">
        <v>563</v>
      </c>
      <c r="J31" s="365"/>
      <c r="K31" s="379" t="s">
        <v>564</v>
      </c>
      <c r="L31" s="380" t="s">
        <v>565</v>
      </c>
      <c r="M31" s="381" t="s">
        <v>566</v>
      </c>
    </row>
    <row r="32" spans="1:26" ht="15.75">
      <c r="A32" s="382"/>
      <c r="B32" s="383"/>
      <c r="C32" s="383"/>
      <c r="D32" s="384" t="s">
        <v>297</v>
      </c>
      <c r="E32" s="489"/>
      <c r="F32" s="822"/>
      <c r="G32" s="822"/>
      <c r="H32" s="491"/>
      <c r="I32" s="493"/>
      <c r="J32" s="385"/>
      <c r="K32" s="823">
        <f t="shared" ref="K32:K37" si="7">K33-1</f>
        <v>1</v>
      </c>
      <c r="L32" s="824">
        <v>0.7</v>
      </c>
      <c r="M32" s="817">
        <v>41958</v>
      </c>
    </row>
    <row r="33" spans="1:26" ht="27.95" customHeight="1">
      <c r="A33" s="825"/>
      <c r="B33" s="826" t="s">
        <v>217</v>
      </c>
      <c r="C33" s="827" t="s">
        <v>218</v>
      </c>
      <c r="D33" s="828" t="s">
        <v>566</v>
      </c>
      <c r="E33" s="829"/>
      <c r="F33" s="822"/>
      <c r="G33" s="822"/>
      <c r="H33" s="830"/>
      <c r="I33" s="831"/>
      <c r="J33" s="300"/>
      <c r="K33" s="823">
        <f t="shared" si="7"/>
        <v>2</v>
      </c>
      <c r="L33" s="824">
        <f>L32+0.1</f>
        <v>0.79999999999999993</v>
      </c>
      <c r="M33" s="817">
        <v>47952</v>
      </c>
    </row>
    <row r="34" spans="1:26" ht="15.75">
      <c r="A34" s="823" t="s">
        <v>200</v>
      </c>
      <c r="B34" s="832">
        <v>1</v>
      </c>
      <c r="C34" s="833">
        <f>IF(AND(A29&lt;=60%,$A$14="New Construction/Special Needs"),0.6,(IF(AND(A29&lt;&gt;60%,$A$14="Preservation/Rehab"),0.7,(IF(AND(A29=60%,$A$14="Preservation/Rehab"),0.7,0.6)))))</f>
        <v>0.6</v>
      </c>
      <c r="D34" s="834">
        <f>IF($A$14="Preservation/Rehab",M32,CEILING(MROUND($A$5*50%,50)*C34,50)*$A$29/50%)</f>
        <v>35964</v>
      </c>
      <c r="E34" s="817">
        <f t="shared" ref="E34:E39" si="8">ROUNDDOWN(D34*$A$7/12,0)</f>
        <v>899</v>
      </c>
      <c r="F34" s="835">
        <f>E34-VLOOKUP(A34,$D$5:$H$10,3,FALSE)</f>
        <v>803</v>
      </c>
      <c r="G34" s="836">
        <f>E34-VLOOKUP(A34,$D$5:$G$10,2,FALSE)</f>
        <v>788</v>
      </c>
      <c r="H34" s="817">
        <f>E34-VLOOKUP(A34,$D$5:$H$10,4,FALSE)</f>
        <v>873</v>
      </c>
      <c r="I34" s="817">
        <f>E34-VLOOKUP(A34,$D$5:$H$10,5,FALSE)</f>
        <v>777</v>
      </c>
      <c r="J34" s="387"/>
      <c r="K34" s="823">
        <f t="shared" si="7"/>
        <v>3</v>
      </c>
      <c r="L34" s="824">
        <f>L33+0.1</f>
        <v>0.89999999999999991</v>
      </c>
      <c r="M34" s="817">
        <v>53946</v>
      </c>
    </row>
    <row r="35" spans="1:26" ht="15.75">
      <c r="A35" s="823" t="s">
        <v>204</v>
      </c>
      <c r="B35" s="832">
        <v>1.5</v>
      </c>
      <c r="C35" s="833">
        <v>0.75</v>
      </c>
      <c r="D35" s="834">
        <f>AVERAGE(M32:M33)</f>
        <v>44955</v>
      </c>
      <c r="E35" s="817">
        <f t="shared" si="8"/>
        <v>1123</v>
      </c>
      <c r="F35" s="835">
        <f t="shared" ref="F35:F39" si="9">E35-VLOOKUP(A35,$D$5:$H$10,3,FALSE)</f>
        <v>1014</v>
      </c>
      <c r="G35" s="836">
        <f t="shared" ref="G35:G39" si="10">E35-VLOOKUP(A35,$D$5:$G$10,2,FALSE)</f>
        <v>996</v>
      </c>
      <c r="H35" s="817">
        <f t="shared" ref="H35:H39" si="11">E35-VLOOKUP(A35,$D$5:$H$10,4,FALSE)</f>
        <v>1094</v>
      </c>
      <c r="I35" s="817">
        <f t="shared" ref="I35:I39" si="12">E35-VLOOKUP(A35,$D$5:$H$10,5,FALSE)</f>
        <v>985</v>
      </c>
      <c r="J35" s="387"/>
      <c r="K35" s="823">
        <f t="shared" si="7"/>
        <v>4</v>
      </c>
      <c r="L35" s="824">
        <f>L34+0.1</f>
        <v>0.99999999999999989</v>
      </c>
      <c r="M35" s="817">
        <v>59940</v>
      </c>
      <c r="R35" s="388"/>
      <c r="S35" s="388"/>
      <c r="T35" s="388"/>
      <c r="U35" s="388"/>
      <c r="V35" s="388"/>
      <c r="W35" s="388"/>
      <c r="X35" s="388"/>
      <c r="Y35" s="388"/>
      <c r="Z35" s="388"/>
    </row>
    <row r="36" spans="1:26" ht="15.75">
      <c r="A36" s="823" t="s">
        <v>206</v>
      </c>
      <c r="B36" s="832">
        <v>3</v>
      </c>
      <c r="C36" s="833">
        <v>0.9</v>
      </c>
      <c r="D36" s="834">
        <f>M34</f>
        <v>53946</v>
      </c>
      <c r="E36" s="817">
        <f t="shared" si="8"/>
        <v>1348</v>
      </c>
      <c r="F36" s="835">
        <f t="shared" si="9"/>
        <v>1204</v>
      </c>
      <c r="G36" s="836">
        <f t="shared" si="10"/>
        <v>1178</v>
      </c>
      <c r="H36" s="817">
        <f t="shared" si="11"/>
        <v>1315</v>
      </c>
      <c r="I36" s="817">
        <f t="shared" si="12"/>
        <v>1171</v>
      </c>
      <c r="J36" s="387"/>
      <c r="K36" s="823">
        <f t="shared" si="7"/>
        <v>5</v>
      </c>
      <c r="L36" s="824">
        <f>L35+0.08</f>
        <v>1.0799999999999998</v>
      </c>
      <c r="M36" s="817">
        <v>64750</v>
      </c>
      <c r="R36" s="388"/>
      <c r="S36" s="388"/>
      <c r="T36" s="388"/>
      <c r="U36" s="388"/>
      <c r="V36" s="388"/>
      <c r="W36" s="388"/>
      <c r="X36" s="388"/>
      <c r="Y36" s="388"/>
      <c r="Z36" s="388"/>
    </row>
    <row r="37" spans="1:26" ht="15.75">
      <c r="A37" s="823" t="s">
        <v>209</v>
      </c>
      <c r="B37" s="832">
        <v>4.5</v>
      </c>
      <c r="C37" s="833">
        <v>1.04</v>
      </c>
      <c r="D37" s="834">
        <f>AVERAGE(M35:M36)</f>
        <v>62345</v>
      </c>
      <c r="E37" s="817">
        <f t="shared" si="8"/>
        <v>1558</v>
      </c>
      <c r="F37" s="835">
        <f t="shared" si="9"/>
        <v>1380</v>
      </c>
      <c r="G37" s="836">
        <f t="shared" si="10"/>
        <v>1346</v>
      </c>
      <c r="H37" s="817">
        <f t="shared" si="11"/>
        <v>1521</v>
      </c>
      <c r="I37" s="817">
        <f t="shared" si="12"/>
        <v>1343</v>
      </c>
      <c r="J37" s="387"/>
      <c r="K37" s="823">
        <f t="shared" si="7"/>
        <v>6</v>
      </c>
      <c r="L37" s="824">
        <f>L36+0.08</f>
        <v>1.1599999999999999</v>
      </c>
      <c r="M37" s="817">
        <v>69560</v>
      </c>
      <c r="R37" s="388"/>
      <c r="S37" s="388"/>
      <c r="T37" s="388"/>
      <c r="U37" s="388"/>
      <c r="V37" s="388"/>
      <c r="W37" s="388"/>
      <c r="X37" s="388"/>
      <c r="Y37" s="388"/>
      <c r="Z37" s="388"/>
    </row>
    <row r="38" spans="1:26" ht="15.75">
      <c r="A38" s="823" t="s">
        <v>552</v>
      </c>
      <c r="B38" s="832">
        <v>6</v>
      </c>
      <c r="C38" s="833">
        <v>1.1599999999999999</v>
      </c>
      <c r="D38" s="834">
        <f>M37</f>
        <v>69560</v>
      </c>
      <c r="E38" s="817">
        <f t="shared" si="8"/>
        <v>1739</v>
      </c>
      <c r="F38" s="835">
        <f t="shared" si="9"/>
        <v>1526</v>
      </c>
      <c r="G38" s="836">
        <f t="shared" si="10"/>
        <v>1484</v>
      </c>
      <c r="H38" s="817">
        <f t="shared" si="11"/>
        <v>1698</v>
      </c>
      <c r="I38" s="817">
        <f t="shared" si="12"/>
        <v>1485</v>
      </c>
      <c r="J38" s="387"/>
      <c r="K38" s="823">
        <f>K39-1</f>
        <v>7</v>
      </c>
      <c r="L38" s="824">
        <f>L37+0.08</f>
        <v>1.24</v>
      </c>
      <c r="M38" s="817">
        <v>74333</v>
      </c>
      <c r="R38" s="388"/>
      <c r="S38" s="388"/>
      <c r="T38" s="388"/>
      <c r="U38" s="388"/>
    </row>
    <row r="39" spans="1:26" ht="15.75">
      <c r="A39" s="823" t="s">
        <v>553</v>
      </c>
      <c r="B39" s="832">
        <v>7.5</v>
      </c>
      <c r="C39" s="833">
        <f>1.28</f>
        <v>1.28</v>
      </c>
      <c r="D39" s="834">
        <f>AVERAGE(M38:M39)</f>
        <v>76738</v>
      </c>
      <c r="E39" s="817">
        <f t="shared" si="8"/>
        <v>1918</v>
      </c>
      <c r="F39" s="835">
        <f t="shared" si="9"/>
        <v>1670</v>
      </c>
      <c r="G39" s="836">
        <f t="shared" si="10"/>
        <v>1620</v>
      </c>
      <c r="H39" s="817">
        <f t="shared" si="11"/>
        <v>1873</v>
      </c>
      <c r="I39" s="817">
        <f t="shared" si="12"/>
        <v>1625</v>
      </c>
      <c r="J39" s="387"/>
      <c r="K39" s="823">
        <v>8</v>
      </c>
      <c r="L39" s="824">
        <f>L38+0.08</f>
        <v>1.32</v>
      </c>
      <c r="M39" s="817">
        <v>79143</v>
      </c>
      <c r="R39" s="388"/>
      <c r="S39" s="388"/>
      <c r="T39" s="388"/>
      <c r="U39" s="388"/>
    </row>
    <row r="40" spans="1:26">
      <c r="D40" s="389"/>
      <c r="Q40" s="388"/>
      <c r="R40" s="388"/>
      <c r="S40" s="388"/>
      <c r="T40" s="388"/>
    </row>
    <row r="41" spans="1:26">
      <c r="D41" s="389"/>
      <c r="Q41" s="388"/>
      <c r="R41" s="388"/>
      <c r="S41" s="388"/>
      <c r="T41" s="388"/>
    </row>
    <row r="42" spans="1:26" ht="15.75">
      <c r="A42" s="818">
        <v>0.47</v>
      </c>
      <c r="B42" s="372" t="s">
        <v>559</v>
      </c>
      <c r="C42" s="817">
        <f>IF($A$42=50%,CEILING(MROUND(MROUND($A$5*50%,50)*$A$42/50%,50)*L48,50),CEILING(MROUND($A$5*50%,50)*L48,50)*$A$42/50%)*0+M48</f>
        <v>76140</v>
      </c>
      <c r="D42" s="373" t="s">
        <v>550</v>
      </c>
      <c r="E42" s="367"/>
      <c r="F42" s="367"/>
      <c r="G42" s="367"/>
      <c r="H42" s="367"/>
      <c r="I42" s="367"/>
      <c r="J42" s="367"/>
      <c r="K42" s="367"/>
      <c r="L42" s="367"/>
      <c r="Q42" s="388"/>
      <c r="R42" s="388"/>
      <c r="S42" s="388"/>
      <c r="T42" s="388"/>
    </row>
    <row r="43" spans="1:26">
      <c r="E43" s="821" t="s">
        <v>560</v>
      </c>
      <c r="F43" s="821" t="s">
        <v>560</v>
      </c>
      <c r="G43" s="821" t="s">
        <v>560</v>
      </c>
      <c r="H43" s="821" t="s">
        <v>560</v>
      </c>
      <c r="I43" s="821" t="s">
        <v>560</v>
      </c>
      <c r="K43" s="374"/>
      <c r="L43" s="375"/>
      <c r="M43" s="376" t="s">
        <v>297</v>
      </c>
      <c r="R43" s="388"/>
      <c r="S43" s="388"/>
      <c r="T43" s="388"/>
      <c r="U43" s="388"/>
    </row>
    <row r="44" spans="1:26" ht="15.75" customHeight="1">
      <c r="A44" s="377"/>
      <c r="B44" s="378"/>
      <c r="C44" s="378"/>
      <c r="D44" s="378"/>
      <c r="E44" s="488" t="s">
        <v>201</v>
      </c>
      <c r="F44" s="822" t="s">
        <v>561</v>
      </c>
      <c r="G44" s="822" t="s">
        <v>547</v>
      </c>
      <c r="H44" s="490" t="s">
        <v>562</v>
      </c>
      <c r="I44" s="492" t="s">
        <v>563</v>
      </c>
      <c r="J44" s="365"/>
      <c r="K44" s="379" t="s">
        <v>564</v>
      </c>
      <c r="L44" s="380" t="s">
        <v>565</v>
      </c>
      <c r="M44" s="381" t="s">
        <v>566</v>
      </c>
    </row>
    <row r="45" spans="1:26" ht="15.75">
      <c r="A45" s="382"/>
      <c r="B45" s="383"/>
      <c r="C45" s="383"/>
      <c r="D45" s="384" t="s">
        <v>297</v>
      </c>
      <c r="E45" s="489"/>
      <c r="F45" s="822"/>
      <c r="G45" s="822"/>
      <c r="H45" s="491"/>
      <c r="I45" s="493"/>
      <c r="J45" s="385"/>
      <c r="K45" s="823">
        <f t="shared" ref="K45:K50" si="13">K46-1</f>
        <v>1</v>
      </c>
      <c r="L45" s="824">
        <v>0.7</v>
      </c>
      <c r="M45" s="817">
        <v>53298</v>
      </c>
      <c r="O45" s="390"/>
      <c r="P45" s="390"/>
    </row>
    <row r="46" spans="1:26" ht="28.5" customHeight="1">
      <c r="A46" s="825"/>
      <c r="B46" s="826" t="s">
        <v>217</v>
      </c>
      <c r="C46" s="827" t="s">
        <v>218</v>
      </c>
      <c r="D46" s="828" t="s">
        <v>566</v>
      </c>
      <c r="E46" s="829"/>
      <c r="F46" s="822"/>
      <c r="G46" s="822"/>
      <c r="H46" s="830"/>
      <c r="I46" s="831"/>
      <c r="J46" s="300"/>
      <c r="K46" s="823">
        <f t="shared" si="13"/>
        <v>2</v>
      </c>
      <c r="L46" s="824">
        <f>L45+0.1</f>
        <v>0.79999999999999993</v>
      </c>
      <c r="M46" s="817">
        <v>60912</v>
      </c>
    </row>
    <row r="47" spans="1:26" ht="15.75">
      <c r="A47" s="823" t="s">
        <v>200</v>
      </c>
      <c r="B47" s="832">
        <v>1</v>
      </c>
      <c r="C47" s="833">
        <f>IF(AND(A42&lt;=60%,$A$14="New Construction/Special Needs"),0.6,(IF(AND(A42&lt;&gt;60%,$A$14="Preservation/Rehab"),0.7,(IF(AND(A42=60%,$A$14="Preservation/Rehab"),0.7,0.6)))))</f>
        <v>0.6</v>
      </c>
      <c r="D47" s="834">
        <f>IF($A$14="Preservation/Rehab",M45,CEILING(MROUND($A$5*50%,50)*C47,50)*$A$42/50%)</f>
        <v>45684</v>
      </c>
      <c r="E47" s="817">
        <f t="shared" ref="E47:E52" si="14">ROUNDDOWN(D47*$A$7/12,0)</f>
        <v>1142</v>
      </c>
      <c r="F47" s="835">
        <f>E47-VLOOKUP(A47,$D$5:$H$10,3,FALSE)</f>
        <v>1046</v>
      </c>
      <c r="G47" s="836">
        <f>E47-VLOOKUP(A47,$D$5:$G$10,2,FALSE)</f>
        <v>1031</v>
      </c>
      <c r="H47" s="817">
        <f>E47-VLOOKUP(A47,$D$5:$H$10,4,FALSE)</f>
        <v>1116</v>
      </c>
      <c r="I47" s="817">
        <f>E47-VLOOKUP(A47,$D$5:$H$10,5,FALSE)</f>
        <v>1020</v>
      </c>
      <c r="J47" s="387"/>
      <c r="K47" s="823">
        <f t="shared" si="13"/>
        <v>3</v>
      </c>
      <c r="L47" s="824">
        <f>L46+0.1</f>
        <v>0.89999999999999991</v>
      </c>
      <c r="M47" s="817">
        <v>68526</v>
      </c>
    </row>
    <row r="48" spans="1:26" ht="15.75">
      <c r="A48" s="823" t="s">
        <v>204</v>
      </c>
      <c r="B48" s="832">
        <v>1.5</v>
      </c>
      <c r="C48" s="833">
        <v>0.75</v>
      </c>
      <c r="D48" s="834">
        <f>AVERAGE(M45:M46)</f>
        <v>57105</v>
      </c>
      <c r="E48" s="817">
        <f t="shared" si="14"/>
        <v>1427</v>
      </c>
      <c r="F48" s="835">
        <f t="shared" ref="F48:F52" si="15">E48-VLOOKUP(A48,$D$5:$H$10,3,FALSE)</f>
        <v>1318</v>
      </c>
      <c r="G48" s="836">
        <f t="shared" ref="G48:G52" si="16">E48-VLOOKUP(A48,$D$5:$G$10,2,FALSE)</f>
        <v>1300</v>
      </c>
      <c r="H48" s="817">
        <f t="shared" ref="H48:H52" si="17">E48-VLOOKUP(A48,$D$5:$H$10,4,FALSE)</f>
        <v>1398</v>
      </c>
      <c r="I48" s="817">
        <f t="shared" ref="I48:I52" si="18">E48-VLOOKUP(A48,$D$5:$H$10,5,FALSE)</f>
        <v>1289</v>
      </c>
      <c r="J48" s="387"/>
      <c r="K48" s="823">
        <f t="shared" si="13"/>
        <v>4</v>
      </c>
      <c r="L48" s="824">
        <f>L47+0.1</f>
        <v>0.99999999999999989</v>
      </c>
      <c r="M48" s="817">
        <v>76140</v>
      </c>
    </row>
    <row r="49" spans="1:13" ht="15.75">
      <c r="A49" s="823" t="s">
        <v>206</v>
      </c>
      <c r="B49" s="832">
        <v>3</v>
      </c>
      <c r="C49" s="833">
        <v>0.9</v>
      </c>
      <c r="D49" s="834">
        <f>M47</f>
        <v>68526</v>
      </c>
      <c r="E49" s="817">
        <f t="shared" si="14"/>
        <v>1713</v>
      </c>
      <c r="F49" s="835">
        <f t="shared" si="15"/>
        <v>1569</v>
      </c>
      <c r="G49" s="836">
        <f t="shared" si="16"/>
        <v>1543</v>
      </c>
      <c r="H49" s="817">
        <f t="shared" si="17"/>
        <v>1680</v>
      </c>
      <c r="I49" s="817">
        <f t="shared" si="18"/>
        <v>1536</v>
      </c>
      <c r="J49" s="387"/>
      <c r="K49" s="823">
        <f t="shared" si="13"/>
        <v>5</v>
      </c>
      <c r="L49" s="824">
        <f>L48+0.08</f>
        <v>1.0799999999999998</v>
      </c>
      <c r="M49" s="817">
        <v>82250</v>
      </c>
    </row>
    <row r="50" spans="1:13" ht="15.75">
      <c r="A50" s="823" t="s">
        <v>209</v>
      </c>
      <c r="B50" s="832">
        <v>4.5</v>
      </c>
      <c r="C50" s="833">
        <v>1.04</v>
      </c>
      <c r="D50" s="834">
        <f>AVERAGE(M48:M49)</f>
        <v>79195</v>
      </c>
      <c r="E50" s="817">
        <f t="shared" si="14"/>
        <v>1979</v>
      </c>
      <c r="F50" s="835">
        <f t="shared" si="15"/>
        <v>1801</v>
      </c>
      <c r="G50" s="836">
        <f t="shared" si="16"/>
        <v>1767</v>
      </c>
      <c r="H50" s="817">
        <f t="shared" si="17"/>
        <v>1942</v>
      </c>
      <c r="I50" s="817">
        <f t="shared" si="18"/>
        <v>1764</v>
      </c>
      <c r="J50" s="387"/>
      <c r="K50" s="823">
        <f t="shared" si="13"/>
        <v>6</v>
      </c>
      <c r="L50" s="824">
        <f>L49+0.08</f>
        <v>1.1599999999999999</v>
      </c>
      <c r="M50" s="817">
        <v>88360</v>
      </c>
    </row>
    <row r="51" spans="1:13" ht="15.75">
      <c r="A51" s="823" t="s">
        <v>552</v>
      </c>
      <c r="B51" s="832">
        <v>6</v>
      </c>
      <c r="C51" s="833">
        <v>1.1599999999999999</v>
      </c>
      <c r="D51" s="834">
        <f>M50</f>
        <v>88360</v>
      </c>
      <c r="E51" s="817">
        <f t="shared" si="14"/>
        <v>2209</v>
      </c>
      <c r="F51" s="835">
        <f t="shared" si="15"/>
        <v>1996</v>
      </c>
      <c r="G51" s="836">
        <f t="shared" si="16"/>
        <v>1954</v>
      </c>
      <c r="H51" s="817">
        <f t="shared" si="17"/>
        <v>2168</v>
      </c>
      <c r="I51" s="817">
        <f t="shared" si="18"/>
        <v>1955</v>
      </c>
      <c r="J51" s="387"/>
      <c r="K51" s="823">
        <f>K52-1</f>
        <v>7</v>
      </c>
      <c r="L51" s="824">
        <f>L50+0.08</f>
        <v>1.24</v>
      </c>
      <c r="M51" s="817">
        <v>94423</v>
      </c>
    </row>
    <row r="52" spans="1:13" ht="15.75">
      <c r="A52" s="823" t="s">
        <v>553</v>
      </c>
      <c r="B52" s="832">
        <v>7.5</v>
      </c>
      <c r="C52" s="833">
        <f>1.28</f>
        <v>1.28</v>
      </c>
      <c r="D52" s="834">
        <f>AVERAGE(M51:M52)</f>
        <v>97478</v>
      </c>
      <c r="E52" s="817">
        <f t="shared" si="14"/>
        <v>2436</v>
      </c>
      <c r="F52" s="835">
        <f t="shared" si="15"/>
        <v>2188</v>
      </c>
      <c r="G52" s="836">
        <f t="shared" si="16"/>
        <v>2138</v>
      </c>
      <c r="H52" s="817">
        <f t="shared" si="17"/>
        <v>2391</v>
      </c>
      <c r="I52" s="817">
        <f t="shared" si="18"/>
        <v>2143</v>
      </c>
      <c r="J52" s="387"/>
      <c r="K52" s="823">
        <v>8</v>
      </c>
      <c r="L52" s="824">
        <f>L51+0.08</f>
        <v>1.32</v>
      </c>
      <c r="M52" s="817">
        <v>100533</v>
      </c>
    </row>
    <row r="55" spans="1:13" ht="15.75">
      <c r="A55" s="818">
        <v>0.56999999999999995</v>
      </c>
      <c r="B55" s="372" t="s">
        <v>559</v>
      </c>
      <c r="C55" s="817">
        <f>IF($A$55=50%,CEILING(MROUND(MROUND($A$5*50%,50)*$A$55/50%,50)*L61,50),CEILING(MROUND($A$5*50%,50)*L61,50)*$A$55/50%)*0+M61</f>
        <v>92339.999999999985</v>
      </c>
      <c r="D55" s="373" t="s">
        <v>550</v>
      </c>
      <c r="E55" s="367"/>
      <c r="F55" s="367"/>
      <c r="G55" s="367"/>
      <c r="H55" s="367"/>
      <c r="I55" s="367"/>
      <c r="J55" s="367"/>
      <c r="K55" s="367"/>
      <c r="L55" s="367"/>
    </row>
    <row r="56" spans="1:13">
      <c r="B56" s="391"/>
      <c r="E56" s="821" t="s">
        <v>560</v>
      </c>
      <c r="F56" s="821" t="s">
        <v>560</v>
      </c>
      <c r="G56" s="821" t="s">
        <v>560</v>
      </c>
      <c r="H56" s="821" t="s">
        <v>560</v>
      </c>
      <c r="I56" s="821" t="s">
        <v>560</v>
      </c>
      <c r="K56" s="374"/>
      <c r="L56" s="375"/>
      <c r="M56" s="376" t="s">
        <v>297</v>
      </c>
    </row>
    <row r="57" spans="1:13" ht="15.75" customHeight="1">
      <c r="A57" s="377"/>
      <c r="B57" s="378"/>
      <c r="C57" s="378"/>
      <c r="D57" s="378"/>
      <c r="E57" s="488" t="s">
        <v>201</v>
      </c>
      <c r="F57" s="822" t="s">
        <v>561</v>
      </c>
      <c r="G57" s="822" t="s">
        <v>547</v>
      </c>
      <c r="H57" s="490" t="s">
        <v>562</v>
      </c>
      <c r="I57" s="492" t="s">
        <v>563</v>
      </c>
      <c r="J57" s="365"/>
      <c r="K57" s="379" t="s">
        <v>564</v>
      </c>
      <c r="L57" s="380" t="s">
        <v>565</v>
      </c>
      <c r="M57" s="381" t="s">
        <v>566</v>
      </c>
    </row>
    <row r="58" spans="1:13" ht="15.75">
      <c r="A58" s="382"/>
      <c r="B58" s="383"/>
      <c r="C58" s="383"/>
      <c r="D58" s="384" t="s">
        <v>297</v>
      </c>
      <c r="E58" s="489"/>
      <c r="F58" s="822"/>
      <c r="G58" s="822"/>
      <c r="H58" s="491"/>
      <c r="I58" s="493"/>
      <c r="J58" s="385"/>
      <c r="K58" s="823">
        <f t="shared" ref="K58:K63" si="19">K59-1</f>
        <v>1</v>
      </c>
      <c r="L58" s="824">
        <v>0.7</v>
      </c>
      <c r="M58" s="817">
        <v>64637.999999999993</v>
      </c>
    </row>
    <row r="59" spans="1:13" ht="32.450000000000003" customHeight="1">
      <c r="A59" s="825"/>
      <c r="B59" s="826" t="s">
        <v>217</v>
      </c>
      <c r="C59" s="827" t="s">
        <v>218</v>
      </c>
      <c r="D59" s="828" t="s">
        <v>566</v>
      </c>
      <c r="E59" s="829"/>
      <c r="F59" s="822"/>
      <c r="G59" s="822"/>
      <c r="H59" s="830"/>
      <c r="I59" s="831"/>
      <c r="J59" s="300"/>
      <c r="K59" s="823">
        <f t="shared" si="19"/>
        <v>2</v>
      </c>
      <c r="L59" s="824">
        <f>L58+0.1</f>
        <v>0.79999999999999993</v>
      </c>
      <c r="M59" s="817">
        <v>73872</v>
      </c>
    </row>
    <row r="60" spans="1:13" ht="15.75">
      <c r="A60" s="823" t="s">
        <v>200</v>
      </c>
      <c r="B60" s="832">
        <v>1</v>
      </c>
      <c r="C60" s="833">
        <f>IF(AND(A55&lt;=60%,$A$14="New Construction/Special Needs"),0.6,(IF(AND(A55&lt;&gt;60%,$A$14="Preservation/Rehab"),0.7,(IF(AND(A55=60%,$A$14="Preservation/Rehab"),0.7,0.6)))))</f>
        <v>0.6</v>
      </c>
      <c r="D60" s="834">
        <f>IF($A$14="Preservation/Rehab",M58,CEILING(MROUND($A$5*50%,50)*C60,50)*$A$55/50%)</f>
        <v>55403.999999999993</v>
      </c>
      <c r="E60" s="817">
        <f t="shared" ref="E60:E65" si="20">ROUNDDOWN(D60*$A$7/12,0)</f>
        <v>1385</v>
      </c>
      <c r="F60" s="835">
        <f>E60-VLOOKUP(A60,$D$5:$H$10,3,FALSE)</f>
        <v>1289</v>
      </c>
      <c r="G60" s="836">
        <f>E60-VLOOKUP(A60,$D$5:$G$10,2,FALSE)</f>
        <v>1274</v>
      </c>
      <c r="H60" s="817">
        <f>E60-VLOOKUP(A60,$D$5:$H$10,4,FALSE)</f>
        <v>1359</v>
      </c>
      <c r="I60" s="817">
        <f>E60-VLOOKUP(A60,$D$5:$H$10,5,FALSE)</f>
        <v>1263</v>
      </c>
      <c r="J60" s="387"/>
      <c r="K60" s="823">
        <f t="shared" si="19"/>
        <v>3</v>
      </c>
      <c r="L60" s="824">
        <f>L59+0.1</f>
        <v>0.89999999999999991</v>
      </c>
      <c r="M60" s="817">
        <v>83106</v>
      </c>
    </row>
    <row r="61" spans="1:13" ht="15.75">
      <c r="A61" s="823" t="s">
        <v>204</v>
      </c>
      <c r="B61" s="832">
        <v>1.5</v>
      </c>
      <c r="C61" s="833">
        <v>0.75</v>
      </c>
      <c r="D61" s="834">
        <f>AVERAGE(M58:M59)</f>
        <v>69255</v>
      </c>
      <c r="E61" s="817">
        <f t="shared" si="20"/>
        <v>1731</v>
      </c>
      <c r="F61" s="835">
        <f t="shared" ref="F61:F65" si="21">E61-VLOOKUP(A61,$D$5:$H$10,3,FALSE)</f>
        <v>1622</v>
      </c>
      <c r="G61" s="836">
        <f t="shared" ref="G61:G65" si="22">E61-VLOOKUP(A61,$D$5:$G$10,2,FALSE)</f>
        <v>1604</v>
      </c>
      <c r="H61" s="817">
        <f t="shared" ref="H61:H65" si="23">E61-VLOOKUP(A61,$D$5:$H$10,4,FALSE)</f>
        <v>1702</v>
      </c>
      <c r="I61" s="817">
        <f t="shared" ref="I61:I65" si="24">E61-VLOOKUP(A61,$D$5:$H$10,5,FALSE)</f>
        <v>1593</v>
      </c>
      <c r="J61" s="387"/>
      <c r="K61" s="823">
        <f t="shared" si="19"/>
        <v>4</v>
      </c>
      <c r="L61" s="824">
        <f>L60+0.1</f>
        <v>0.99999999999999989</v>
      </c>
      <c r="M61" s="817">
        <v>92339.999999999985</v>
      </c>
    </row>
    <row r="62" spans="1:13" ht="15.75">
      <c r="A62" s="823" t="s">
        <v>206</v>
      </c>
      <c r="B62" s="832">
        <v>3</v>
      </c>
      <c r="C62" s="833">
        <v>0.9</v>
      </c>
      <c r="D62" s="834">
        <f>M60</f>
        <v>83106</v>
      </c>
      <c r="E62" s="817">
        <f t="shared" si="20"/>
        <v>2077</v>
      </c>
      <c r="F62" s="835">
        <f t="shared" si="21"/>
        <v>1933</v>
      </c>
      <c r="G62" s="836">
        <f t="shared" si="22"/>
        <v>1907</v>
      </c>
      <c r="H62" s="817">
        <f t="shared" si="23"/>
        <v>2044</v>
      </c>
      <c r="I62" s="817">
        <f t="shared" si="24"/>
        <v>1900</v>
      </c>
      <c r="J62" s="387"/>
      <c r="K62" s="823">
        <f t="shared" si="19"/>
        <v>5</v>
      </c>
      <c r="L62" s="824">
        <f>L61+0.08</f>
        <v>1.0799999999999998</v>
      </c>
      <c r="M62" s="817">
        <v>99749.999999999985</v>
      </c>
    </row>
    <row r="63" spans="1:13" ht="15.75">
      <c r="A63" s="823" t="s">
        <v>209</v>
      </c>
      <c r="B63" s="832">
        <v>4.5</v>
      </c>
      <c r="C63" s="833">
        <v>1.04</v>
      </c>
      <c r="D63" s="834">
        <f>AVERAGE(M61:M62)</f>
        <v>96044.999999999985</v>
      </c>
      <c r="E63" s="817">
        <f t="shared" si="20"/>
        <v>2401</v>
      </c>
      <c r="F63" s="835">
        <f t="shared" si="21"/>
        <v>2223</v>
      </c>
      <c r="G63" s="836">
        <f t="shared" si="22"/>
        <v>2189</v>
      </c>
      <c r="H63" s="817">
        <f t="shared" si="23"/>
        <v>2364</v>
      </c>
      <c r="I63" s="817">
        <f t="shared" si="24"/>
        <v>2186</v>
      </c>
      <c r="J63" s="387"/>
      <c r="K63" s="823">
        <f t="shared" si="19"/>
        <v>6</v>
      </c>
      <c r="L63" s="824">
        <f>L62+0.08</f>
        <v>1.1599999999999999</v>
      </c>
      <c r="M63" s="817">
        <v>107159.99999999999</v>
      </c>
    </row>
    <row r="64" spans="1:13" ht="15.75">
      <c r="A64" s="823" t="s">
        <v>552</v>
      </c>
      <c r="B64" s="832">
        <v>6</v>
      </c>
      <c r="C64" s="833">
        <v>1.1599999999999999</v>
      </c>
      <c r="D64" s="834">
        <f>M63</f>
        <v>107159.99999999999</v>
      </c>
      <c r="E64" s="817">
        <f t="shared" si="20"/>
        <v>2679</v>
      </c>
      <c r="F64" s="835">
        <f t="shared" si="21"/>
        <v>2466</v>
      </c>
      <c r="G64" s="836">
        <f t="shared" si="22"/>
        <v>2424</v>
      </c>
      <c r="H64" s="817">
        <f t="shared" si="23"/>
        <v>2638</v>
      </c>
      <c r="I64" s="817">
        <f t="shared" si="24"/>
        <v>2425</v>
      </c>
      <c r="J64" s="387"/>
      <c r="K64" s="823">
        <f>K65-1</f>
        <v>7</v>
      </c>
      <c r="L64" s="824">
        <f>L63+0.08</f>
        <v>1.24</v>
      </c>
      <c r="M64" s="817">
        <v>114512.99999999999</v>
      </c>
    </row>
    <row r="65" spans="1:13" ht="15.75">
      <c r="A65" s="823" t="s">
        <v>553</v>
      </c>
      <c r="B65" s="832">
        <v>7.5</v>
      </c>
      <c r="C65" s="833">
        <f>1.28</f>
        <v>1.28</v>
      </c>
      <c r="D65" s="834">
        <f>AVERAGE(M64:M65)</f>
        <v>118217.99999999999</v>
      </c>
      <c r="E65" s="817">
        <f t="shared" si="20"/>
        <v>2955</v>
      </c>
      <c r="F65" s="835">
        <f t="shared" si="21"/>
        <v>2707</v>
      </c>
      <c r="G65" s="836">
        <f t="shared" si="22"/>
        <v>2657</v>
      </c>
      <c r="H65" s="817">
        <f t="shared" si="23"/>
        <v>2910</v>
      </c>
      <c r="I65" s="817">
        <f t="shared" si="24"/>
        <v>2662</v>
      </c>
      <c r="J65" s="387"/>
      <c r="K65" s="823">
        <v>8</v>
      </c>
      <c r="L65" s="824">
        <f>L64+0.08</f>
        <v>1.32</v>
      </c>
      <c r="M65" s="817">
        <v>121922.99999999999</v>
      </c>
    </row>
    <row r="68" spans="1:13" ht="15.75">
      <c r="A68" s="818">
        <v>0.67</v>
      </c>
      <c r="B68" s="372" t="s">
        <v>559</v>
      </c>
      <c r="C68" s="817">
        <f>IF($A$68=50%,CEILING(MROUND(MROUND($A$5*50%,50)*$A$68/50%,50)*L74,50),CEILING(MROUND($A$5*50%,50)*L74,50)*$A$68/50%)*0+M74</f>
        <v>108540</v>
      </c>
      <c r="D68" s="373" t="s">
        <v>550</v>
      </c>
      <c r="E68" s="367"/>
      <c r="F68" s="367"/>
      <c r="G68" s="367"/>
      <c r="H68" s="367"/>
      <c r="I68" s="367"/>
      <c r="J68" s="367"/>
      <c r="K68" s="367"/>
      <c r="L68" s="367"/>
    </row>
    <row r="69" spans="1:13">
      <c r="E69" s="821" t="s">
        <v>560</v>
      </c>
      <c r="F69" s="821" t="s">
        <v>560</v>
      </c>
      <c r="G69" s="821" t="s">
        <v>560</v>
      </c>
      <c r="H69" s="821" t="s">
        <v>560</v>
      </c>
      <c r="I69" s="821" t="s">
        <v>560</v>
      </c>
      <c r="K69" s="374"/>
      <c r="L69" s="375"/>
      <c r="M69" s="376" t="s">
        <v>297</v>
      </c>
    </row>
    <row r="70" spans="1:13" ht="15.75" customHeight="1">
      <c r="A70" s="377"/>
      <c r="B70" s="378"/>
      <c r="C70" s="378"/>
      <c r="D70" s="378"/>
      <c r="E70" s="488" t="s">
        <v>201</v>
      </c>
      <c r="F70" s="822" t="s">
        <v>561</v>
      </c>
      <c r="G70" s="822" t="s">
        <v>547</v>
      </c>
      <c r="H70" s="490" t="s">
        <v>562</v>
      </c>
      <c r="I70" s="492" t="s">
        <v>563</v>
      </c>
      <c r="J70" s="365"/>
      <c r="K70" s="379" t="s">
        <v>564</v>
      </c>
      <c r="L70" s="380" t="s">
        <v>565</v>
      </c>
      <c r="M70" s="381" t="s">
        <v>566</v>
      </c>
    </row>
    <row r="71" spans="1:13" ht="15.75">
      <c r="A71" s="382"/>
      <c r="B71" s="383"/>
      <c r="C71" s="383"/>
      <c r="D71" s="384" t="s">
        <v>297</v>
      </c>
      <c r="E71" s="489"/>
      <c r="F71" s="822"/>
      <c r="G71" s="822"/>
      <c r="H71" s="491"/>
      <c r="I71" s="493"/>
      <c r="J71" s="385"/>
      <c r="K71" s="823">
        <f t="shared" ref="K71:K76" si="25">K72-1</f>
        <v>1</v>
      </c>
      <c r="L71" s="824">
        <v>0.7</v>
      </c>
      <c r="M71" s="817">
        <v>75978</v>
      </c>
    </row>
    <row r="72" spans="1:13" ht="28.5" customHeight="1">
      <c r="A72" s="825"/>
      <c r="B72" s="826" t="s">
        <v>217</v>
      </c>
      <c r="C72" s="827" t="s">
        <v>218</v>
      </c>
      <c r="D72" s="828" t="s">
        <v>566</v>
      </c>
      <c r="E72" s="829"/>
      <c r="F72" s="822"/>
      <c r="G72" s="822"/>
      <c r="H72" s="830"/>
      <c r="I72" s="831"/>
      <c r="J72" s="300"/>
      <c r="K72" s="823">
        <f t="shared" si="25"/>
        <v>2</v>
      </c>
      <c r="L72" s="824">
        <f>L71+0.1</f>
        <v>0.79999999999999993</v>
      </c>
      <c r="M72" s="817">
        <v>86832</v>
      </c>
    </row>
    <row r="73" spans="1:13" ht="15.75">
      <c r="A73" s="823" t="s">
        <v>200</v>
      </c>
      <c r="B73" s="832">
        <v>1</v>
      </c>
      <c r="C73" s="833">
        <f>IF(AND(A68&lt;=60%,$A$14="New Construction/Special Needs"),0.6,(IF(AND(A68&lt;&gt;60%,$A$14="Preservation/Rehab"),0.7,(IF(AND(A68=60%,$A$14="Preservation/Rehab"),0.7,0.6)))))</f>
        <v>0.6</v>
      </c>
      <c r="D73" s="834">
        <f>IF($A$14="Preservation/Rehab",M71,CEILING(MROUND($A$5*50%,50)*C73,50)*$A$68/50%)</f>
        <v>65124.000000000007</v>
      </c>
      <c r="E73" s="817">
        <f t="shared" ref="E73:E78" si="26">ROUNDDOWN(D73*$A$7/12,0)</f>
        <v>1628</v>
      </c>
      <c r="F73" s="835">
        <f>E73-VLOOKUP(A73,$D$5:$H$10,3,FALSE)</f>
        <v>1532</v>
      </c>
      <c r="G73" s="836">
        <f>E73-VLOOKUP(A73,$D$5:$G$10,2,FALSE)</f>
        <v>1517</v>
      </c>
      <c r="H73" s="817">
        <f>E73-VLOOKUP(A73,$D$5:$H$10,4,FALSE)</f>
        <v>1602</v>
      </c>
      <c r="I73" s="817">
        <f>E73-VLOOKUP(A73,$D$5:$H$10,5,FALSE)</f>
        <v>1506</v>
      </c>
      <c r="J73" s="387"/>
      <c r="K73" s="823">
        <f t="shared" si="25"/>
        <v>3</v>
      </c>
      <c r="L73" s="824">
        <f>L72+0.1</f>
        <v>0.89999999999999991</v>
      </c>
      <c r="M73" s="817">
        <v>97686</v>
      </c>
    </row>
    <row r="74" spans="1:13" ht="15.75">
      <c r="A74" s="823" t="s">
        <v>204</v>
      </c>
      <c r="B74" s="832">
        <v>1.5</v>
      </c>
      <c r="C74" s="833">
        <v>0.75</v>
      </c>
      <c r="D74" s="834">
        <f>AVERAGE(M71:M72)</f>
        <v>81405</v>
      </c>
      <c r="E74" s="817">
        <f t="shared" si="26"/>
        <v>2035</v>
      </c>
      <c r="F74" s="835">
        <f t="shared" ref="F74:F78" si="27">E74-VLOOKUP(A74,$D$5:$H$10,3,FALSE)</f>
        <v>1926</v>
      </c>
      <c r="G74" s="836">
        <f t="shared" ref="G74:G78" si="28">E74-VLOOKUP(A74,$D$5:$G$10,2,FALSE)</f>
        <v>1908</v>
      </c>
      <c r="H74" s="817">
        <f t="shared" ref="H74:H78" si="29">E74-VLOOKUP(A74,$D$5:$H$10,4,FALSE)</f>
        <v>2006</v>
      </c>
      <c r="I74" s="817">
        <f t="shared" ref="I74:I78" si="30">E74-VLOOKUP(A74,$D$5:$H$10,5,FALSE)</f>
        <v>1897</v>
      </c>
      <c r="J74" s="387"/>
      <c r="K74" s="823">
        <f t="shared" si="25"/>
        <v>4</v>
      </c>
      <c r="L74" s="824">
        <f>L73+0.1</f>
        <v>0.99999999999999989</v>
      </c>
      <c r="M74" s="817">
        <v>108540</v>
      </c>
    </row>
    <row r="75" spans="1:13" ht="15.75">
      <c r="A75" s="823" t="s">
        <v>206</v>
      </c>
      <c r="B75" s="832">
        <v>3</v>
      </c>
      <c r="C75" s="833">
        <v>0.9</v>
      </c>
      <c r="D75" s="834">
        <f>M73</f>
        <v>97686</v>
      </c>
      <c r="E75" s="817">
        <f t="shared" si="26"/>
        <v>2442</v>
      </c>
      <c r="F75" s="835">
        <f t="shared" si="27"/>
        <v>2298</v>
      </c>
      <c r="G75" s="836">
        <f t="shared" si="28"/>
        <v>2272</v>
      </c>
      <c r="H75" s="817">
        <f t="shared" si="29"/>
        <v>2409</v>
      </c>
      <c r="I75" s="817">
        <f t="shared" si="30"/>
        <v>2265</v>
      </c>
      <c r="J75" s="387"/>
      <c r="K75" s="823">
        <f t="shared" si="25"/>
        <v>5</v>
      </c>
      <c r="L75" s="824">
        <f>L74+0.08</f>
        <v>1.0799999999999998</v>
      </c>
      <c r="M75" s="817">
        <v>117250</v>
      </c>
    </row>
    <row r="76" spans="1:13" ht="15.75">
      <c r="A76" s="823" t="s">
        <v>209</v>
      </c>
      <c r="B76" s="832">
        <v>4.5</v>
      </c>
      <c r="C76" s="833">
        <v>1.04</v>
      </c>
      <c r="D76" s="834">
        <f>AVERAGE(M74:M75)</f>
        <v>112895</v>
      </c>
      <c r="E76" s="817">
        <f t="shared" si="26"/>
        <v>2822</v>
      </c>
      <c r="F76" s="835">
        <f t="shared" si="27"/>
        <v>2644</v>
      </c>
      <c r="G76" s="836">
        <f t="shared" si="28"/>
        <v>2610</v>
      </c>
      <c r="H76" s="817">
        <f t="shared" si="29"/>
        <v>2785</v>
      </c>
      <c r="I76" s="817">
        <f t="shared" si="30"/>
        <v>2607</v>
      </c>
      <c r="J76" s="387"/>
      <c r="K76" s="823">
        <f t="shared" si="25"/>
        <v>6</v>
      </c>
      <c r="L76" s="824">
        <f>L75+0.08</f>
        <v>1.1599999999999999</v>
      </c>
      <c r="M76" s="817">
        <v>125960.00000000001</v>
      </c>
    </row>
    <row r="77" spans="1:13" ht="15.75">
      <c r="A77" s="823" t="s">
        <v>552</v>
      </c>
      <c r="B77" s="832">
        <v>6</v>
      </c>
      <c r="C77" s="833">
        <v>1.1599999999999999</v>
      </c>
      <c r="D77" s="834">
        <f>M76</f>
        <v>125960.00000000001</v>
      </c>
      <c r="E77" s="817">
        <f t="shared" si="26"/>
        <v>3149</v>
      </c>
      <c r="F77" s="835">
        <f t="shared" si="27"/>
        <v>2936</v>
      </c>
      <c r="G77" s="836">
        <f t="shared" si="28"/>
        <v>2894</v>
      </c>
      <c r="H77" s="817">
        <f t="shared" si="29"/>
        <v>3108</v>
      </c>
      <c r="I77" s="817">
        <f t="shared" si="30"/>
        <v>2895</v>
      </c>
      <c r="J77" s="387"/>
      <c r="K77" s="823">
        <f>K78-1</f>
        <v>7</v>
      </c>
      <c r="L77" s="824">
        <f>L76+0.08</f>
        <v>1.24</v>
      </c>
      <c r="M77" s="817">
        <v>134603</v>
      </c>
    </row>
    <row r="78" spans="1:13" ht="15.75">
      <c r="A78" s="823" t="s">
        <v>553</v>
      </c>
      <c r="B78" s="832">
        <v>7.5</v>
      </c>
      <c r="C78" s="833">
        <f>1.28</f>
        <v>1.28</v>
      </c>
      <c r="D78" s="834">
        <f>AVERAGE(M77:M78)</f>
        <v>138958</v>
      </c>
      <c r="E78" s="817">
        <f t="shared" si="26"/>
        <v>3473</v>
      </c>
      <c r="F78" s="835">
        <f t="shared" si="27"/>
        <v>3225</v>
      </c>
      <c r="G78" s="836">
        <f t="shared" si="28"/>
        <v>3175</v>
      </c>
      <c r="H78" s="817">
        <f t="shared" si="29"/>
        <v>3428</v>
      </c>
      <c r="I78" s="817">
        <f t="shared" si="30"/>
        <v>3180</v>
      </c>
      <c r="J78" s="387"/>
      <c r="K78" s="823">
        <v>8</v>
      </c>
      <c r="L78" s="824">
        <f>L77+0.08</f>
        <v>1.32</v>
      </c>
      <c r="M78" s="817">
        <v>143313</v>
      </c>
    </row>
    <row r="80" spans="1:13" ht="15.75">
      <c r="A80" s="818">
        <v>0.77</v>
      </c>
      <c r="B80" s="372" t="s">
        <v>559</v>
      </c>
      <c r="C80" s="817">
        <f>IF($A$80=50%,CEILING(MROUND(MROUND($A$5*50%,50)*$A$80/50%,50)*L86,50),CEILING(MROUND($A$5*50%,50)*L86,50)*$A$80/50%)*0+M86</f>
        <v>124740</v>
      </c>
      <c r="D80" s="373" t="s">
        <v>550</v>
      </c>
      <c r="E80" s="367"/>
      <c r="F80" s="367"/>
      <c r="G80" s="367"/>
      <c r="H80" s="367"/>
      <c r="I80" s="367"/>
      <c r="J80" s="367"/>
      <c r="K80" s="367"/>
      <c r="L80" s="367"/>
    </row>
    <row r="81" spans="1:13">
      <c r="E81" s="821" t="s">
        <v>560</v>
      </c>
      <c r="F81" s="821" t="s">
        <v>560</v>
      </c>
      <c r="G81" s="821" t="s">
        <v>560</v>
      </c>
      <c r="H81" s="821" t="s">
        <v>560</v>
      </c>
      <c r="I81" s="821" t="s">
        <v>560</v>
      </c>
      <c r="K81" s="374"/>
      <c r="L81" s="375"/>
      <c r="M81" s="376" t="s">
        <v>297</v>
      </c>
    </row>
    <row r="82" spans="1:13" ht="15.75" customHeight="1">
      <c r="A82" s="377"/>
      <c r="B82" s="378"/>
      <c r="C82" s="378"/>
      <c r="D82" s="378"/>
      <c r="E82" s="488" t="s">
        <v>201</v>
      </c>
      <c r="F82" s="822" t="s">
        <v>561</v>
      </c>
      <c r="G82" s="822" t="s">
        <v>547</v>
      </c>
      <c r="H82" s="490" t="s">
        <v>562</v>
      </c>
      <c r="I82" s="492" t="s">
        <v>563</v>
      </c>
      <c r="J82" s="365"/>
      <c r="K82" s="379" t="s">
        <v>564</v>
      </c>
      <c r="L82" s="380" t="s">
        <v>565</v>
      </c>
      <c r="M82" s="381" t="s">
        <v>566</v>
      </c>
    </row>
    <row r="83" spans="1:13" ht="15.75">
      <c r="A83" s="382"/>
      <c r="B83" s="383"/>
      <c r="C83" s="383"/>
      <c r="D83" s="384" t="s">
        <v>297</v>
      </c>
      <c r="E83" s="489"/>
      <c r="F83" s="822"/>
      <c r="G83" s="822"/>
      <c r="H83" s="491"/>
      <c r="I83" s="493"/>
      <c r="J83" s="385"/>
      <c r="K83" s="823">
        <f t="shared" ref="K83:K88" si="31">K84-1</f>
        <v>1</v>
      </c>
      <c r="L83" s="824">
        <v>0.7</v>
      </c>
      <c r="M83" s="817">
        <v>87318</v>
      </c>
    </row>
    <row r="84" spans="1:13" ht="29.1" customHeight="1">
      <c r="A84" s="825"/>
      <c r="B84" s="826" t="s">
        <v>217</v>
      </c>
      <c r="C84" s="827" t="s">
        <v>218</v>
      </c>
      <c r="D84" s="828" t="s">
        <v>566</v>
      </c>
      <c r="E84" s="829"/>
      <c r="F84" s="822"/>
      <c r="G84" s="822"/>
      <c r="H84" s="830"/>
      <c r="I84" s="831"/>
      <c r="J84" s="300"/>
      <c r="K84" s="823">
        <f t="shared" si="31"/>
        <v>2</v>
      </c>
      <c r="L84" s="824">
        <f>L83+0.1</f>
        <v>0.79999999999999993</v>
      </c>
      <c r="M84" s="817">
        <v>99792</v>
      </c>
    </row>
    <row r="85" spans="1:13" ht="15.75">
      <c r="A85" s="823" t="s">
        <v>200</v>
      </c>
      <c r="B85" s="832">
        <v>1</v>
      </c>
      <c r="C85" s="833">
        <f>IF(AND(A80&lt;=60%,$A$14="New Construction/Special Needs"),0.6,(IF(AND(A80&lt;&gt;60%,$A$14="Preservation/Rehab"),0.7,(IF(AND(A80=60%,$A$14="Preservation/Rehab"),0.7,0.6)))))</f>
        <v>0.6</v>
      </c>
      <c r="D85" s="834">
        <f>IF($A$14="Preservation/Rehab",M83,CEILING(MROUND($A$5*50%,50)*C85,50)*$A$80/50%)</f>
        <v>74844</v>
      </c>
      <c r="E85" s="817">
        <f t="shared" ref="E85:E90" si="32">ROUNDDOWN(D85*$A$7/12,0)</f>
        <v>1871</v>
      </c>
      <c r="F85" s="835">
        <f>E85-VLOOKUP(A85,$D$5:$H$10,3,FALSE)</f>
        <v>1775</v>
      </c>
      <c r="G85" s="836">
        <f>E85-VLOOKUP(A85,$D$5:$G$10,2,FALSE)</f>
        <v>1760</v>
      </c>
      <c r="H85" s="817">
        <f>E85-VLOOKUP(A85,$D$5:$H$10,4,FALSE)</f>
        <v>1845</v>
      </c>
      <c r="I85" s="817">
        <f>E85-VLOOKUP(A85,$D$5:$H$10,5,FALSE)</f>
        <v>1749</v>
      </c>
      <c r="J85" s="387"/>
      <c r="K85" s="823">
        <f t="shared" si="31"/>
        <v>3</v>
      </c>
      <c r="L85" s="824">
        <f>L84+0.1</f>
        <v>0.89999999999999991</v>
      </c>
      <c r="M85" s="817">
        <v>112266</v>
      </c>
    </row>
    <row r="86" spans="1:13" ht="15.75">
      <c r="A86" s="823" t="s">
        <v>204</v>
      </c>
      <c r="B86" s="832">
        <v>1.5</v>
      </c>
      <c r="C86" s="833">
        <v>0.75</v>
      </c>
      <c r="D86" s="834">
        <f>AVERAGE(M83:M84)</f>
        <v>93555</v>
      </c>
      <c r="E86" s="817">
        <f t="shared" si="32"/>
        <v>2338</v>
      </c>
      <c r="F86" s="835">
        <f t="shared" ref="F86:F90" si="33">E86-VLOOKUP(A86,$D$5:$H$10,3,FALSE)</f>
        <v>2229</v>
      </c>
      <c r="G86" s="836">
        <f t="shared" ref="G86:G90" si="34">E86-VLOOKUP(A86,$D$5:$G$10,2,FALSE)</f>
        <v>2211</v>
      </c>
      <c r="H86" s="817">
        <f t="shared" ref="H86:H90" si="35">E86-VLOOKUP(A86,$D$5:$H$10,4,FALSE)</f>
        <v>2309</v>
      </c>
      <c r="I86" s="817">
        <f t="shared" ref="I86:I90" si="36">E86-VLOOKUP(A86,$D$5:$H$10,5,FALSE)</f>
        <v>2200</v>
      </c>
      <c r="J86" s="387"/>
      <c r="K86" s="823">
        <f t="shared" si="31"/>
        <v>4</v>
      </c>
      <c r="L86" s="824">
        <f>L85+0.1</f>
        <v>0.99999999999999989</v>
      </c>
      <c r="M86" s="817">
        <v>124740</v>
      </c>
    </row>
    <row r="87" spans="1:13" ht="15.75">
      <c r="A87" s="823" t="s">
        <v>206</v>
      </c>
      <c r="B87" s="832">
        <v>3</v>
      </c>
      <c r="C87" s="833">
        <v>0.9</v>
      </c>
      <c r="D87" s="834">
        <f>M85</f>
        <v>112266</v>
      </c>
      <c r="E87" s="817">
        <f t="shared" si="32"/>
        <v>2806</v>
      </c>
      <c r="F87" s="835">
        <f t="shared" si="33"/>
        <v>2662</v>
      </c>
      <c r="G87" s="836">
        <f t="shared" si="34"/>
        <v>2636</v>
      </c>
      <c r="H87" s="817">
        <f t="shared" si="35"/>
        <v>2773</v>
      </c>
      <c r="I87" s="817">
        <f t="shared" si="36"/>
        <v>2629</v>
      </c>
      <c r="J87" s="387"/>
      <c r="K87" s="823">
        <f t="shared" si="31"/>
        <v>5</v>
      </c>
      <c r="L87" s="824">
        <f>L86+0.08</f>
        <v>1.0799999999999998</v>
      </c>
      <c r="M87" s="817">
        <v>134750</v>
      </c>
    </row>
    <row r="88" spans="1:13" ht="15.75">
      <c r="A88" s="823" t="s">
        <v>209</v>
      </c>
      <c r="B88" s="832">
        <v>4.5</v>
      </c>
      <c r="C88" s="833">
        <v>1.04</v>
      </c>
      <c r="D88" s="834">
        <f>AVERAGE(M86:M87)</f>
        <v>129745</v>
      </c>
      <c r="E88" s="817">
        <f t="shared" si="32"/>
        <v>3243</v>
      </c>
      <c r="F88" s="835">
        <f t="shared" si="33"/>
        <v>3065</v>
      </c>
      <c r="G88" s="836">
        <f t="shared" si="34"/>
        <v>3031</v>
      </c>
      <c r="H88" s="817">
        <f t="shared" si="35"/>
        <v>3206</v>
      </c>
      <c r="I88" s="817">
        <f t="shared" si="36"/>
        <v>3028</v>
      </c>
      <c r="J88" s="387"/>
      <c r="K88" s="823">
        <f t="shared" si="31"/>
        <v>6</v>
      </c>
      <c r="L88" s="824">
        <f>L87+0.08</f>
        <v>1.1599999999999999</v>
      </c>
      <c r="M88" s="817">
        <v>144760</v>
      </c>
    </row>
    <row r="89" spans="1:13" ht="15.75">
      <c r="A89" s="823" t="s">
        <v>552</v>
      </c>
      <c r="B89" s="832">
        <v>6</v>
      </c>
      <c r="C89" s="833">
        <v>1.1599999999999999</v>
      </c>
      <c r="D89" s="834">
        <f>M88</f>
        <v>144760</v>
      </c>
      <c r="E89" s="817">
        <f t="shared" si="32"/>
        <v>3619</v>
      </c>
      <c r="F89" s="835">
        <f t="shared" si="33"/>
        <v>3406</v>
      </c>
      <c r="G89" s="836">
        <f t="shared" si="34"/>
        <v>3364</v>
      </c>
      <c r="H89" s="817">
        <f t="shared" si="35"/>
        <v>3578</v>
      </c>
      <c r="I89" s="817">
        <f t="shared" si="36"/>
        <v>3365</v>
      </c>
      <c r="J89" s="387"/>
      <c r="K89" s="823">
        <f>K90-1</f>
        <v>7</v>
      </c>
      <c r="L89" s="824">
        <f>L88+0.08</f>
        <v>1.24</v>
      </c>
      <c r="M89" s="817">
        <v>154693</v>
      </c>
    </row>
    <row r="90" spans="1:13" ht="15.75">
      <c r="A90" s="823" t="s">
        <v>553</v>
      </c>
      <c r="B90" s="832">
        <v>7.5</v>
      </c>
      <c r="C90" s="833">
        <f>1.28</f>
        <v>1.28</v>
      </c>
      <c r="D90" s="834">
        <f>AVERAGE(M89:M90)</f>
        <v>159698</v>
      </c>
      <c r="E90" s="817">
        <f t="shared" si="32"/>
        <v>3992</v>
      </c>
      <c r="F90" s="835">
        <f t="shared" si="33"/>
        <v>3744</v>
      </c>
      <c r="G90" s="836">
        <f t="shared" si="34"/>
        <v>3694</v>
      </c>
      <c r="H90" s="817">
        <f t="shared" si="35"/>
        <v>3947</v>
      </c>
      <c r="I90" s="817">
        <f t="shared" si="36"/>
        <v>3699</v>
      </c>
      <c r="J90" s="387"/>
      <c r="K90" s="823">
        <v>8</v>
      </c>
      <c r="L90" s="824">
        <f>L89+0.08</f>
        <v>1.32</v>
      </c>
      <c r="M90" s="817">
        <v>164703</v>
      </c>
    </row>
    <row r="92" spans="1:13" ht="15.75">
      <c r="A92" s="818">
        <v>0.9</v>
      </c>
      <c r="B92" s="372" t="s">
        <v>559</v>
      </c>
      <c r="C92" s="817">
        <f>IF($A$92=50%,CEILING(MROUND(MROUND($A$5*50%,50)*$A$92/50%,50)*L98,50),CEILING(MROUND($A$5*50%,50)*L98,50)*$A$92/50%)*0+M98</f>
        <v>145800</v>
      </c>
      <c r="D92" s="373" t="s">
        <v>550</v>
      </c>
      <c r="E92" s="367"/>
      <c r="F92" s="367"/>
      <c r="G92" s="367"/>
      <c r="H92" s="367"/>
      <c r="I92" s="367"/>
      <c r="J92" s="367"/>
      <c r="K92" s="367"/>
      <c r="L92" s="367"/>
    </row>
    <row r="93" spans="1:13">
      <c r="E93" s="821" t="s">
        <v>560</v>
      </c>
      <c r="F93" s="821" t="s">
        <v>560</v>
      </c>
      <c r="G93" s="821" t="s">
        <v>560</v>
      </c>
      <c r="H93" s="821" t="s">
        <v>560</v>
      </c>
      <c r="I93" s="821" t="s">
        <v>560</v>
      </c>
      <c r="K93" s="374"/>
      <c r="L93" s="375"/>
      <c r="M93" s="376" t="s">
        <v>297</v>
      </c>
    </row>
    <row r="94" spans="1:13" ht="15.75" customHeight="1">
      <c r="A94" s="377"/>
      <c r="B94" s="378"/>
      <c r="C94" s="378"/>
      <c r="D94" s="378"/>
      <c r="E94" s="488" t="s">
        <v>201</v>
      </c>
      <c r="F94" s="822" t="s">
        <v>561</v>
      </c>
      <c r="G94" s="822" t="s">
        <v>547</v>
      </c>
      <c r="H94" s="490" t="s">
        <v>562</v>
      </c>
      <c r="I94" s="492" t="s">
        <v>563</v>
      </c>
      <c r="J94" s="365"/>
      <c r="K94" s="379" t="s">
        <v>564</v>
      </c>
      <c r="L94" s="380" t="s">
        <v>565</v>
      </c>
      <c r="M94" s="381" t="s">
        <v>566</v>
      </c>
    </row>
    <row r="95" spans="1:13" ht="15.75">
      <c r="A95" s="382"/>
      <c r="B95" s="383"/>
      <c r="C95" s="383"/>
      <c r="D95" s="384" t="s">
        <v>297</v>
      </c>
      <c r="E95" s="489"/>
      <c r="F95" s="822"/>
      <c r="G95" s="822"/>
      <c r="H95" s="491"/>
      <c r="I95" s="493"/>
      <c r="J95" s="385"/>
      <c r="K95" s="823">
        <f t="shared" ref="K95:K100" si="37">K96-1</f>
        <v>1</v>
      </c>
      <c r="L95" s="824">
        <v>0.7</v>
      </c>
      <c r="M95" s="817">
        <v>102060</v>
      </c>
    </row>
    <row r="96" spans="1:13" ht="31.5" customHeight="1">
      <c r="A96" s="825"/>
      <c r="B96" s="826" t="s">
        <v>217</v>
      </c>
      <c r="C96" s="827" t="s">
        <v>218</v>
      </c>
      <c r="D96" s="828" t="s">
        <v>566</v>
      </c>
      <c r="E96" s="829"/>
      <c r="F96" s="822"/>
      <c r="G96" s="822"/>
      <c r="H96" s="830"/>
      <c r="I96" s="831"/>
      <c r="J96" s="300"/>
      <c r="K96" s="823">
        <f t="shared" si="37"/>
        <v>2</v>
      </c>
      <c r="L96" s="824">
        <f>L95+0.1</f>
        <v>0.79999999999999993</v>
      </c>
      <c r="M96" s="817">
        <v>116640</v>
      </c>
    </row>
    <row r="97" spans="1:13" ht="15.75">
      <c r="A97" s="823" t="s">
        <v>200</v>
      </c>
      <c r="B97" s="832">
        <v>1</v>
      </c>
      <c r="C97" s="833">
        <f>IF(AND(A92&lt;=60%,$A$14="New Construction/Special Needs"),0.6,(IF(AND(A92&lt;&gt;60%,$A$14="Preservation/Rehab"),0.7,(IF(AND(A92=60%,$A$14="Preservation/Rehab"),0.7,0.6)))))</f>
        <v>0.6</v>
      </c>
      <c r="D97" s="834">
        <f>IF($A$14="Preservation/Rehab",M95,CEILING(MROUND($A$5*50%,50)*C97,50)*$A$92/50%)</f>
        <v>87480</v>
      </c>
      <c r="E97" s="817">
        <f t="shared" ref="E97:E102" si="38">ROUNDDOWN(D97*$A$7/12,0)</f>
        <v>2187</v>
      </c>
      <c r="F97" s="835">
        <f>E97-VLOOKUP(A97,$D$5:$H$10,3,FALSE)</f>
        <v>2091</v>
      </c>
      <c r="G97" s="836">
        <f>E97-VLOOKUP(A97,$D$5:$G$10,2,FALSE)</f>
        <v>2076</v>
      </c>
      <c r="H97" s="817">
        <f>E97-VLOOKUP(A97,$D$5:$H$10,4,FALSE)</f>
        <v>2161</v>
      </c>
      <c r="I97" s="817">
        <f>E97-VLOOKUP(A97,$D$5:$H$10,5,FALSE)</f>
        <v>2065</v>
      </c>
      <c r="J97" s="387"/>
      <c r="K97" s="823">
        <f t="shared" si="37"/>
        <v>3</v>
      </c>
      <c r="L97" s="824">
        <f>L96+0.1</f>
        <v>0.89999999999999991</v>
      </c>
      <c r="M97" s="817">
        <v>131220</v>
      </c>
    </row>
    <row r="98" spans="1:13" ht="15.75">
      <c r="A98" s="823" t="s">
        <v>204</v>
      </c>
      <c r="B98" s="832">
        <v>1.5</v>
      </c>
      <c r="C98" s="833">
        <v>0.75</v>
      </c>
      <c r="D98" s="834">
        <f>AVERAGE(M95:M96)</f>
        <v>109350</v>
      </c>
      <c r="E98" s="817">
        <f t="shared" si="38"/>
        <v>2733</v>
      </c>
      <c r="F98" s="835">
        <f t="shared" ref="F98:F102" si="39">E98-VLOOKUP(A98,$D$5:$H$10,3,FALSE)</f>
        <v>2624</v>
      </c>
      <c r="G98" s="836">
        <f t="shared" ref="G98:G102" si="40">E98-VLOOKUP(A98,$D$5:$G$10,2,FALSE)</f>
        <v>2606</v>
      </c>
      <c r="H98" s="817">
        <f t="shared" ref="H98:H102" si="41">E98-VLOOKUP(A98,$D$5:$H$10,4,FALSE)</f>
        <v>2704</v>
      </c>
      <c r="I98" s="817">
        <f t="shared" ref="I98:I102" si="42">E98-VLOOKUP(A98,$D$5:$H$10,5,FALSE)</f>
        <v>2595</v>
      </c>
      <c r="J98" s="387"/>
      <c r="K98" s="823">
        <f t="shared" si="37"/>
        <v>4</v>
      </c>
      <c r="L98" s="824">
        <f>L97+0.1</f>
        <v>0.99999999999999989</v>
      </c>
      <c r="M98" s="817">
        <v>145800</v>
      </c>
    </row>
    <row r="99" spans="1:13" ht="15.75">
      <c r="A99" s="823" t="s">
        <v>206</v>
      </c>
      <c r="B99" s="832">
        <v>3</v>
      </c>
      <c r="C99" s="833">
        <v>0.9</v>
      </c>
      <c r="D99" s="834">
        <f>M97</f>
        <v>131220</v>
      </c>
      <c r="E99" s="817">
        <f t="shared" si="38"/>
        <v>3280</v>
      </c>
      <c r="F99" s="835">
        <f t="shared" si="39"/>
        <v>3136</v>
      </c>
      <c r="G99" s="836">
        <f t="shared" si="40"/>
        <v>3110</v>
      </c>
      <c r="H99" s="817">
        <f t="shared" si="41"/>
        <v>3247</v>
      </c>
      <c r="I99" s="817">
        <f t="shared" si="42"/>
        <v>3103</v>
      </c>
      <c r="J99" s="387"/>
      <c r="K99" s="823">
        <f t="shared" si="37"/>
        <v>5</v>
      </c>
      <c r="L99" s="824">
        <f>L98+0.08</f>
        <v>1.0799999999999998</v>
      </c>
      <c r="M99" s="817">
        <v>157500</v>
      </c>
    </row>
    <row r="100" spans="1:13" ht="15.75">
      <c r="A100" s="823" t="s">
        <v>209</v>
      </c>
      <c r="B100" s="832">
        <v>4.5</v>
      </c>
      <c r="C100" s="833">
        <v>1.04</v>
      </c>
      <c r="D100" s="834">
        <f>AVERAGE(M98:M99)</f>
        <v>151650</v>
      </c>
      <c r="E100" s="817">
        <f t="shared" si="38"/>
        <v>3791</v>
      </c>
      <c r="F100" s="835">
        <f t="shared" si="39"/>
        <v>3613</v>
      </c>
      <c r="G100" s="836">
        <f t="shared" si="40"/>
        <v>3579</v>
      </c>
      <c r="H100" s="817">
        <f t="shared" si="41"/>
        <v>3754</v>
      </c>
      <c r="I100" s="817">
        <f t="shared" si="42"/>
        <v>3576</v>
      </c>
      <c r="J100" s="387"/>
      <c r="K100" s="823">
        <f t="shared" si="37"/>
        <v>6</v>
      </c>
      <c r="L100" s="824">
        <f>L99+0.08</f>
        <v>1.1599999999999999</v>
      </c>
      <c r="M100" s="817">
        <v>169200</v>
      </c>
    </row>
    <row r="101" spans="1:13" ht="15.75">
      <c r="A101" s="823" t="s">
        <v>552</v>
      </c>
      <c r="B101" s="832">
        <v>6</v>
      </c>
      <c r="C101" s="833">
        <v>1.1599999999999999</v>
      </c>
      <c r="D101" s="834">
        <f>M100</f>
        <v>169200</v>
      </c>
      <c r="E101" s="817">
        <f t="shared" si="38"/>
        <v>4230</v>
      </c>
      <c r="F101" s="835">
        <f t="shared" si="39"/>
        <v>4017</v>
      </c>
      <c r="G101" s="836">
        <f t="shared" si="40"/>
        <v>3975</v>
      </c>
      <c r="H101" s="817">
        <f t="shared" si="41"/>
        <v>4189</v>
      </c>
      <c r="I101" s="817">
        <f t="shared" si="42"/>
        <v>3976</v>
      </c>
      <c r="J101" s="387"/>
      <c r="K101" s="823">
        <f>K102-1</f>
        <v>7</v>
      </c>
      <c r="L101" s="824">
        <f>L100+0.08</f>
        <v>1.24</v>
      </c>
      <c r="M101" s="817">
        <v>180810</v>
      </c>
    </row>
    <row r="102" spans="1:13" ht="15.75">
      <c r="A102" s="823" t="s">
        <v>553</v>
      </c>
      <c r="B102" s="832">
        <v>7.5</v>
      </c>
      <c r="C102" s="833">
        <f>1.28</f>
        <v>1.28</v>
      </c>
      <c r="D102" s="834">
        <f>AVERAGE(M101:M102)</f>
        <v>186660</v>
      </c>
      <c r="E102" s="817">
        <f t="shared" si="38"/>
        <v>4666</v>
      </c>
      <c r="F102" s="835">
        <f t="shared" si="39"/>
        <v>4418</v>
      </c>
      <c r="G102" s="836">
        <f t="shared" si="40"/>
        <v>4368</v>
      </c>
      <c r="H102" s="817">
        <f t="shared" si="41"/>
        <v>4621</v>
      </c>
      <c r="I102" s="817">
        <f t="shared" si="42"/>
        <v>4373</v>
      </c>
      <c r="J102" s="387"/>
      <c r="K102" s="823">
        <v>8</v>
      </c>
      <c r="L102" s="824">
        <f>L101+0.08</f>
        <v>1.32</v>
      </c>
      <c r="M102" s="817">
        <v>192510</v>
      </c>
    </row>
    <row r="104" spans="1:13" ht="15.75">
      <c r="A104" s="818">
        <v>1.1000000000000001</v>
      </c>
      <c r="B104" s="372" t="s">
        <v>559</v>
      </c>
      <c r="C104" s="817">
        <f>IF($A$104=50%,CEILING(MROUND(MROUND($A$5*50%,50)*$A$104/50%,50)*L110,50),CEILING(MROUND($A$5*50%,50)*L110,50)*$A$104/50%)*0+M110</f>
        <v>178200</v>
      </c>
      <c r="D104" s="373" t="s">
        <v>550</v>
      </c>
      <c r="E104" s="367"/>
      <c r="F104" s="367"/>
      <c r="G104" s="367"/>
      <c r="H104" s="367"/>
      <c r="I104" s="367"/>
      <c r="J104" s="367"/>
      <c r="K104" s="367"/>
      <c r="L104" s="367"/>
    </row>
    <row r="105" spans="1:13">
      <c r="E105" s="821" t="s">
        <v>560</v>
      </c>
      <c r="F105" s="821" t="s">
        <v>560</v>
      </c>
      <c r="G105" s="821" t="s">
        <v>560</v>
      </c>
      <c r="H105" s="821" t="s">
        <v>560</v>
      </c>
      <c r="I105" s="821" t="s">
        <v>560</v>
      </c>
      <c r="K105" s="374"/>
      <c r="L105" s="375"/>
      <c r="M105" s="376" t="s">
        <v>297</v>
      </c>
    </row>
    <row r="106" spans="1:13" ht="15.75" customHeight="1">
      <c r="A106" s="377"/>
      <c r="B106" s="378"/>
      <c r="C106" s="378"/>
      <c r="D106" s="378"/>
      <c r="E106" s="488" t="s">
        <v>201</v>
      </c>
      <c r="F106" s="822" t="s">
        <v>561</v>
      </c>
      <c r="G106" s="822" t="s">
        <v>547</v>
      </c>
      <c r="H106" s="490" t="s">
        <v>562</v>
      </c>
      <c r="I106" s="492" t="s">
        <v>563</v>
      </c>
      <c r="J106" s="365"/>
      <c r="K106" s="379" t="s">
        <v>564</v>
      </c>
      <c r="L106" s="380" t="s">
        <v>565</v>
      </c>
      <c r="M106" s="381" t="s">
        <v>566</v>
      </c>
    </row>
    <row r="107" spans="1:13" ht="15.75">
      <c r="A107" s="382"/>
      <c r="B107" s="383"/>
      <c r="C107" s="383"/>
      <c r="D107" s="384" t="s">
        <v>297</v>
      </c>
      <c r="E107" s="489"/>
      <c r="F107" s="822"/>
      <c r="G107" s="822"/>
      <c r="H107" s="491"/>
      <c r="I107" s="493"/>
      <c r="J107" s="385"/>
      <c r="K107" s="823">
        <f t="shared" ref="K107:K112" si="43">K108-1</f>
        <v>1</v>
      </c>
      <c r="L107" s="824">
        <v>0.7</v>
      </c>
      <c r="M107" s="817">
        <v>124740.00000000001</v>
      </c>
    </row>
    <row r="108" spans="1:13" ht="30" customHeight="1">
      <c r="A108" s="825"/>
      <c r="B108" s="826" t="s">
        <v>217</v>
      </c>
      <c r="C108" s="827" t="s">
        <v>218</v>
      </c>
      <c r="D108" s="828" t="s">
        <v>566</v>
      </c>
      <c r="E108" s="829"/>
      <c r="F108" s="822"/>
      <c r="G108" s="822"/>
      <c r="H108" s="830"/>
      <c r="I108" s="831"/>
      <c r="J108" s="300"/>
      <c r="K108" s="823">
        <f t="shared" si="43"/>
        <v>2</v>
      </c>
      <c r="L108" s="824">
        <f>L107+0.1</f>
        <v>0.79999999999999993</v>
      </c>
      <c r="M108" s="817">
        <v>142560</v>
      </c>
    </row>
    <row r="109" spans="1:13" ht="15.75">
      <c r="A109" s="823" t="s">
        <v>200</v>
      </c>
      <c r="B109" s="832">
        <v>1</v>
      </c>
      <c r="C109" s="833">
        <f>IF(AND(A104&lt;=60%,$A$14="New Construction/Special Needs"),0.6,(IF(AND(A104&lt;&gt;60%,$A$14="Preservation/Rehab"),0.7,(IF(AND(A104=60%,$A$14="Preservation/Rehab"),0.7,0.6)))))</f>
        <v>0.6</v>
      </c>
      <c r="D109" s="834">
        <f>IF($A$14="Preservation/Rehab",M107,CEILING(MROUND($A$5*50%,50)*C109,50)*$A$104/50%)</f>
        <v>106920.00000000001</v>
      </c>
      <c r="E109" s="817">
        <f t="shared" ref="E109:E114" si="44">ROUNDDOWN(D109*$A$7/12,0)</f>
        <v>2673</v>
      </c>
      <c r="F109" s="835">
        <f>E109-VLOOKUP(A109,$D$5:$H$10,3,FALSE)</f>
        <v>2577</v>
      </c>
      <c r="G109" s="836">
        <f>E109-VLOOKUP(A109,$D$5:$G$10,2,FALSE)</f>
        <v>2562</v>
      </c>
      <c r="H109" s="817">
        <f>E109-VLOOKUP(A109,$D$5:$H$10,4,FALSE)</f>
        <v>2647</v>
      </c>
      <c r="I109" s="817">
        <f>E109-VLOOKUP(A109,$D$5:$H$10,5,FALSE)</f>
        <v>2551</v>
      </c>
      <c r="J109" s="387"/>
      <c r="K109" s="823">
        <f t="shared" si="43"/>
        <v>3</v>
      </c>
      <c r="L109" s="824">
        <f>L108+0.1</f>
        <v>0.89999999999999991</v>
      </c>
      <c r="M109" s="817">
        <v>160380</v>
      </c>
    </row>
    <row r="110" spans="1:13" ht="15.75">
      <c r="A110" s="823" t="s">
        <v>204</v>
      </c>
      <c r="B110" s="832">
        <v>1.5</v>
      </c>
      <c r="C110" s="833">
        <v>0.75</v>
      </c>
      <c r="D110" s="834">
        <f>AVERAGE(M107:M108)</f>
        <v>133650</v>
      </c>
      <c r="E110" s="817">
        <f t="shared" si="44"/>
        <v>3341</v>
      </c>
      <c r="F110" s="835">
        <f t="shared" ref="F110:F114" si="45">E110-VLOOKUP(A110,$D$5:$H$10,3,FALSE)</f>
        <v>3232</v>
      </c>
      <c r="G110" s="836">
        <f t="shared" ref="G110:G114" si="46">E110-VLOOKUP(A110,$D$5:$G$10,2,FALSE)</f>
        <v>3214</v>
      </c>
      <c r="H110" s="817">
        <f t="shared" ref="H110:H114" si="47">E110-VLOOKUP(A110,$D$5:$H$10,4,FALSE)</f>
        <v>3312</v>
      </c>
      <c r="I110" s="817">
        <f t="shared" ref="I110:I114" si="48">E110-VLOOKUP(A110,$D$5:$H$10,5,FALSE)</f>
        <v>3203</v>
      </c>
      <c r="J110" s="387"/>
      <c r="K110" s="823">
        <f t="shared" si="43"/>
        <v>4</v>
      </c>
      <c r="L110" s="824">
        <f>L109+0.1</f>
        <v>0.99999999999999989</v>
      </c>
      <c r="M110" s="817">
        <v>178200</v>
      </c>
    </row>
    <row r="111" spans="1:13" ht="15.75">
      <c r="A111" s="823" t="s">
        <v>206</v>
      </c>
      <c r="B111" s="832">
        <v>3</v>
      </c>
      <c r="C111" s="833">
        <v>0.9</v>
      </c>
      <c r="D111" s="834">
        <f>M109</f>
        <v>160380</v>
      </c>
      <c r="E111" s="817">
        <f t="shared" si="44"/>
        <v>4009</v>
      </c>
      <c r="F111" s="835">
        <f t="shared" si="45"/>
        <v>3865</v>
      </c>
      <c r="G111" s="836">
        <f t="shared" si="46"/>
        <v>3839</v>
      </c>
      <c r="H111" s="817">
        <f t="shared" si="47"/>
        <v>3976</v>
      </c>
      <c r="I111" s="817">
        <f t="shared" si="48"/>
        <v>3832</v>
      </c>
      <c r="J111" s="387"/>
      <c r="K111" s="823">
        <f t="shared" si="43"/>
        <v>5</v>
      </c>
      <c r="L111" s="824">
        <f>L110+0.08</f>
        <v>1.0799999999999998</v>
      </c>
      <c r="M111" s="817">
        <v>192500.00000000003</v>
      </c>
    </row>
    <row r="112" spans="1:13" ht="15.75">
      <c r="A112" s="823" t="s">
        <v>209</v>
      </c>
      <c r="B112" s="832">
        <v>4.5</v>
      </c>
      <c r="C112" s="833">
        <v>1.04</v>
      </c>
      <c r="D112" s="834">
        <f>AVERAGE(M110:M111)</f>
        <v>185350</v>
      </c>
      <c r="E112" s="817">
        <f t="shared" si="44"/>
        <v>4633</v>
      </c>
      <c r="F112" s="835">
        <f t="shared" si="45"/>
        <v>4455</v>
      </c>
      <c r="G112" s="836">
        <f t="shared" si="46"/>
        <v>4421</v>
      </c>
      <c r="H112" s="817">
        <f t="shared" si="47"/>
        <v>4596</v>
      </c>
      <c r="I112" s="817">
        <f t="shared" si="48"/>
        <v>4418</v>
      </c>
      <c r="J112" s="387"/>
      <c r="K112" s="823">
        <f t="shared" si="43"/>
        <v>6</v>
      </c>
      <c r="L112" s="824">
        <f>L111+0.08</f>
        <v>1.1599999999999999</v>
      </c>
      <c r="M112" s="817">
        <v>206800.00000000003</v>
      </c>
    </row>
    <row r="113" spans="1:13" ht="15.75">
      <c r="A113" s="823" t="s">
        <v>552</v>
      </c>
      <c r="B113" s="832">
        <v>6</v>
      </c>
      <c r="C113" s="833">
        <v>1.1599999999999999</v>
      </c>
      <c r="D113" s="834">
        <f>M112</f>
        <v>206800.00000000003</v>
      </c>
      <c r="E113" s="817">
        <f t="shared" si="44"/>
        <v>5170</v>
      </c>
      <c r="F113" s="835">
        <f t="shared" si="45"/>
        <v>4957</v>
      </c>
      <c r="G113" s="836">
        <f t="shared" si="46"/>
        <v>4915</v>
      </c>
      <c r="H113" s="817">
        <f t="shared" si="47"/>
        <v>5129</v>
      </c>
      <c r="I113" s="817">
        <f t="shared" si="48"/>
        <v>4916</v>
      </c>
      <c r="J113" s="387"/>
      <c r="K113" s="823">
        <f>K114-1</f>
        <v>7</v>
      </c>
      <c r="L113" s="824">
        <f>L112+0.08</f>
        <v>1.24</v>
      </c>
      <c r="M113" s="817">
        <v>220990.00000000003</v>
      </c>
    </row>
    <row r="114" spans="1:13" ht="15.75">
      <c r="A114" s="823" t="s">
        <v>553</v>
      </c>
      <c r="B114" s="832">
        <v>7.5</v>
      </c>
      <c r="C114" s="833">
        <f>1.28</f>
        <v>1.28</v>
      </c>
      <c r="D114" s="834">
        <f>AVERAGE(M113:M114)</f>
        <v>228140.00000000003</v>
      </c>
      <c r="E114" s="817">
        <f t="shared" si="44"/>
        <v>5703</v>
      </c>
      <c r="F114" s="835">
        <f t="shared" si="45"/>
        <v>5455</v>
      </c>
      <c r="G114" s="836">
        <f t="shared" si="46"/>
        <v>5405</v>
      </c>
      <c r="H114" s="817">
        <f t="shared" si="47"/>
        <v>5658</v>
      </c>
      <c r="I114" s="817">
        <f t="shared" si="48"/>
        <v>5410</v>
      </c>
      <c r="J114" s="387"/>
      <c r="K114" s="823">
        <v>8</v>
      </c>
      <c r="L114" s="824">
        <f>L113+0.08</f>
        <v>1.32</v>
      </c>
      <c r="M114" s="817">
        <v>235290.00000000003</v>
      </c>
    </row>
  </sheetData>
  <mergeCells count="46">
    <mergeCell ref="A14:C14"/>
    <mergeCell ref="E3:E4"/>
    <mergeCell ref="F3:F4"/>
    <mergeCell ref="G3:G4"/>
    <mergeCell ref="H3:H4"/>
    <mergeCell ref="A13:C13"/>
    <mergeCell ref="E31:E33"/>
    <mergeCell ref="F31:F33"/>
    <mergeCell ref="G31:G33"/>
    <mergeCell ref="H31:H33"/>
    <mergeCell ref="I31:I33"/>
    <mergeCell ref="E19:E21"/>
    <mergeCell ref="F19:F21"/>
    <mergeCell ref="G19:G21"/>
    <mergeCell ref="H19:H21"/>
    <mergeCell ref="I19:I21"/>
    <mergeCell ref="E57:E59"/>
    <mergeCell ref="F57:F59"/>
    <mergeCell ref="G57:G59"/>
    <mergeCell ref="H57:H59"/>
    <mergeCell ref="I57:I59"/>
    <mergeCell ref="E44:E46"/>
    <mergeCell ref="F44:F46"/>
    <mergeCell ref="G44:G46"/>
    <mergeCell ref="H44:H46"/>
    <mergeCell ref="I44:I46"/>
    <mergeCell ref="E82:E84"/>
    <mergeCell ref="F82:F84"/>
    <mergeCell ref="G82:G84"/>
    <mergeCell ref="H82:H84"/>
    <mergeCell ref="I82:I84"/>
    <mergeCell ref="E70:E72"/>
    <mergeCell ref="F70:F72"/>
    <mergeCell ref="G70:G72"/>
    <mergeCell ref="H70:H72"/>
    <mergeCell ref="I70:I72"/>
    <mergeCell ref="E106:E108"/>
    <mergeCell ref="F106:F108"/>
    <mergeCell ref="G106:G108"/>
    <mergeCell ref="H106:H108"/>
    <mergeCell ref="I106:I108"/>
    <mergeCell ref="E94:E96"/>
    <mergeCell ref="F94:F96"/>
    <mergeCell ref="G94:G96"/>
    <mergeCell ref="H94:H96"/>
    <mergeCell ref="I94:I96"/>
  </mergeCells>
  <conditionalFormatting sqref="C22">
    <cfRule type="expression" dxfId="7" priority="8">
      <formula>C22&lt;0.7</formula>
    </cfRule>
  </conditionalFormatting>
  <conditionalFormatting sqref="C34">
    <cfRule type="expression" dxfId="6" priority="7">
      <formula>C34&lt;0.7</formula>
    </cfRule>
  </conditionalFormatting>
  <conditionalFormatting sqref="C47">
    <cfRule type="expression" dxfId="5" priority="6">
      <formula>C47&lt;0.7</formula>
    </cfRule>
  </conditionalFormatting>
  <conditionalFormatting sqref="C60">
    <cfRule type="expression" dxfId="4" priority="5">
      <formula>C60&lt;0.7</formula>
    </cfRule>
  </conditionalFormatting>
  <conditionalFormatting sqref="C73">
    <cfRule type="expression" dxfId="3" priority="4">
      <formula>C73&lt;0.7</formula>
    </cfRule>
  </conditionalFormatting>
  <conditionalFormatting sqref="C85">
    <cfRule type="expression" dxfId="2" priority="3">
      <formula>C85&lt;0.7</formula>
    </cfRule>
  </conditionalFormatting>
  <conditionalFormatting sqref="C97">
    <cfRule type="expression" dxfId="1" priority="2">
      <formula>C97&lt;0.7</formula>
    </cfRule>
  </conditionalFormatting>
  <conditionalFormatting sqref="C109">
    <cfRule type="expression" dxfId="0" priority="1">
      <formula>C109&lt;0.7</formula>
    </cfRule>
  </conditionalFormatting>
  <dataValidations count="1">
    <dataValidation type="list" allowBlank="1" showInputMessage="1" showErrorMessage="1" sqref="A14" xr:uid="{A4DFCBF8-4D22-492B-9BEB-DB8B1D390F1A}">
      <formula1>ProjectType</formula1>
    </dataValidation>
  </dataValidations>
  <pageMargins left="0.5" right="0.5" top="0.5" bottom="0.5" header="0.5" footer="0.5"/>
  <pageSetup paperSize="5" scale="49" orientation="portrait" r:id="rId1"/>
  <headerFooter alignWithMargins="0"/>
  <colBreaks count="1" manualBreakCount="1">
    <brk id="12" max="31" man="1"/>
  </col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D21F1-7A31-49FB-90B1-F7D2464B0D61}">
  <dimension ref="A2"/>
  <sheetViews>
    <sheetView workbookViewId="0"/>
  </sheetViews>
  <sheetFormatPr defaultColWidth="8.88671875" defaultRowHeight="15"/>
  <cols>
    <col min="1" max="16384" width="8.88671875" style="298"/>
  </cols>
  <sheetData>
    <row r="2" spans="1:1">
      <c r="A2" s="298" t="s">
        <v>567</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V54"/>
  <sheetViews>
    <sheetView workbookViewId="0"/>
  </sheetViews>
  <sheetFormatPr defaultColWidth="7.109375" defaultRowHeight="12.75"/>
  <cols>
    <col min="1" max="1" width="17.5546875" style="153" customWidth="1"/>
    <col min="2" max="2" width="14.77734375" style="153" customWidth="1"/>
    <col min="3" max="3" width="13.5546875" style="153" customWidth="1"/>
    <col min="4" max="4" width="1.21875" style="153" customWidth="1"/>
    <col min="5" max="5" width="13.6640625" style="153" customWidth="1"/>
    <col min="6" max="6" width="1.21875" style="153" customWidth="1"/>
    <col min="7" max="7" width="13.88671875" style="153" customWidth="1"/>
    <col min="8" max="8" width="1.21875" style="153" customWidth="1"/>
    <col min="9" max="9" width="10.33203125" style="153" customWidth="1"/>
    <col min="10" max="16384" width="7.109375" style="153"/>
  </cols>
  <sheetData>
    <row r="1" spans="1:256" s="155" customFormat="1">
      <c r="A1" s="466" t="str">
        <f>'Sources and Use'!A1</f>
        <v xml:space="preserve">Project Name: </v>
      </c>
      <c r="B1" s="466"/>
      <c r="C1" s="466"/>
      <c r="D1" s="466"/>
      <c r="E1" s="466"/>
      <c r="F1" s="466"/>
      <c r="G1" s="180" t="str">
        <f>'Sources and Use'!C3</f>
        <v>Units:</v>
      </c>
      <c r="H1" s="466"/>
      <c r="I1" s="466">
        <f>'Units &amp; Income'!C24</f>
        <v>0</v>
      </c>
      <c r="J1" s="466"/>
      <c r="K1" s="466"/>
      <c r="L1" s="466"/>
      <c r="M1" s="466"/>
      <c r="N1" s="466"/>
      <c r="O1" s="466"/>
      <c r="P1" s="466"/>
      <c r="Q1" s="466"/>
      <c r="R1" s="466"/>
      <c r="S1" s="466"/>
      <c r="T1" s="466"/>
      <c r="U1" s="466"/>
      <c r="V1" s="466"/>
      <c r="W1" s="466"/>
      <c r="X1" s="466"/>
      <c r="Y1" s="466"/>
      <c r="Z1" s="466"/>
      <c r="AA1" s="466"/>
      <c r="AB1" s="466"/>
      <c r="AC1" s="466"/>
      <c r="AD1" s="466"/>
      <c r="AE1" s="466"/>
      <c r="AF1" s="466"/>
      <c r="AG1" s="466"/>
      <c r="AH1" s="466"/>
      <c r="AI1" s="466"/>
      <c r="AJ1" s="466"/>
      <c r="AK1" s="466"/>
      <c r="AL1" s="466"/>
      <c r="AM1" s="466"/>
      <c r="AN1" s="466"/>
      <c r="AO1" s="466"/>
      <c r="AP1" s="466"/>
      <c r="AQ1" s="466"/>
      <c r="AR1" s="466"/>
      <c r="AS1" s="466"/>
      <c r="AT1" s="466"/>
      <c r="AU1" s="466"/>
      <c r="AV1" s="466"/>
      <c r="AW1" s="466"/>
      <c r="AX1" s="466"/>
      <c r="AY1" s="466"/>
      <c r="AZ1" s="466"/>
      <c r="BA1" s="466"/>
      <c r="BB1" s="466"/>
      <c r="BC1" s="466"/>
      <c r="BD1" s="466"/>
      <c r="BE1" s="466"/>
      <c r="BF1" s="466"/>
      <c r="BG1" s="466"/>
      <c r="BH1" s="466"/>
      <c r="BI1" s="466"/>
      <c r="BJ1" s="466"/>
      <c r="BK1" s="466"/>
      <c r="BL1" s="466"/>
      <c r="BM1" s="466"/>
      <c r="BN1" s="466"/>
      <c r="BO1" s="466"/>
      <c r="BP1" s="466"/>
      <c r="BQ1" s="466" t="s">
        <v>568</v>
      </c>
      <c r="BR1" s="466" t="s">
        <v>568</v>
      </c>
      <c r="BS1" s="466" t="s">
        <v>568</v>
      </c>
      <c r="BT1" s="466" t="s">
        <v>568</v>
      </c>
      <c r="BU1" s="466" t="s">
        <v>568</v>
      </c>
      <c r="BV1" s="466" t="s">
        <v>568</v>
      </c>
      <c r="BW1" s="466" t="s">
        <v>568</v>
      </c>
      <c r="BX1" s="466" t="s">
        <v>568</v>
      </c>
      <c r="BY1" s="466" t="s">
        <v>568</v>
      </c>
      <c r="BZ1" s="466" t="s">
        <v>568</v>
      </c>
      <c r="CA1" s="466" t="s">
        <v>568</v>
      </c>
      <c r="CB1" s="466" t="s">
        <v>568</v>
      </c>
      <c r="CC1" s="466" t="s">
        <v>568</v>
      </c>
      <c r="CD1" s="466" t="s">
        <v>568</v>
      </c>
      <c r="CE1" s="466" t="s">
        <v>568</v>
      </c>
      <c r="CF1" s="466" t="s">
        <v>568</v>
      </c>
      <c r="CG1" s="466" t="s">
        <v>568</v>
      </c>
      <c r="CH1" s="466" t="s">
        <v>568</v>
      </c>
      <c r="CI1" s="466" t="s">
        <v>568</v>
      </c>
      <c r="CJ1" s="466" t="s">
        <v>568</v>
      </c>
      <c r="CK1" s="466" t="s">
        <v>568</v>
      </c>
      <c r="CL1" s="466" t="s">
        <v>568</v>
      </c>
      <c r="CM1" s="466" t="s">
        <v>568</v>
      </c>
      <c r="CN1" s="466" t="s">
        <v>568</v>
      </c>
      <c r="CO1" s="466" t="s">
        <v>568</v>
      </c>
      <c r="CP1" s="466" t="s">
        <v>568</v>
      </c>
      <c r="CQ1" s="466" t="s">
        <v>568</v>
      </c>
      <c r="CR1" s="466" t="s">
        <v>568</v>
      </c>
      <c r="CS1" s="466" t="s">
        <v>568</v>
      </c>
      <c r="CT1" s="466" t="s">
        <v>568</v>
      </c>
      <c r="CU1" s="466" t="s">
        <v>568</v>
      </c>
      <c r="CV1" s="466" t="s">
        <v>568</v>
      </c>
      <c r="CW1" s="466" t="s">
        <v>568</v>
      </c>
      <c r="CX1" s="466" t="s">
        <v>568</v>
      </c>
      <c r="CY1" s="466" t="s">
        <v>568</v>
      </c>
      <c r="CZ1" s="466" t="s">
        <v>568</v>
      </c>
      <c r="DA1" s="466" t="s">
        <v>568</v>
      </c>
      <c r="DB1" s="466" t="s">
        <v>568</v>
      </c>
      <c r="DC1" s="466" t="s">
        <v>568</v>
      </c>
      <c r="DD1" s="466" t="s">
        <v>568</v>
      </c>
      <c r="DE1" s="466" t="s">
        <v>568</v>
      </c>
      <c r="DF1" s="466" t="s">
        <v>568</v>
      </c>
      <c r="DG1" s="466" t="s">
        <v>568</v>
      </c>
      <c r="DH1" s="466" t="s">
        <v>568</v>
      </c>
      <c r="DI1" s="466" t="s">
        <v>568</v>
      </c>
      <c r="DJ1" s="466" t="s">
        <v>568</v>
      </c>
      <c r="DK1" s="466" t="s">
        <v>568</v>
      </c>
      <c r="DL1" s="466" t="s">
        <v>568</v>
      </c>
      <c r="DM1" s="466" t="s">
        <v>568</v>
      </c>
      <c r="DN1" s="466" t="s">
        <v>568</v>
      </c>
      <c r="DO1" s="466" t="s">
        <v>568</v>
      </c>
      <c r="DP1" s="466" t="s">
        <v>568</v>
      </c>
      <c r="DQ1" s="466" t="s">
        <v>568</v>
      </c>
      <c r="DR1" s="466" t="s">
        <v>568</v>
      </c>
      <c r="DS1" s="466" t="s">
        <v>568</v>
      </c>
      <c r="DT1" s="466" t="s">
        <v>568</v>
      </c>
      <c r="DU1" s="466" t="s">
        <v>568</v>
      </c>
      <c r="DV1" s="466" t="s">
        <v>568</v>
      </c>
      <c r="DW1" s="466" t="s">
        <v>568</v>
      </c>
      <c r="DX1" s="466" t="s">
        <v>568</v>
      </c>
      <c r="DY1" s="466" t="s">
        <v>568</v>
      </c>
      <c r="DZ1" s="466" t="s">
        <v>568</v>
      </c>
      <c r="EA1" s="466" t="s">
        <v>568</v>
      </c>
      <c r="EB1" s="466" t="s">
        <v>568</v>
      </c>
      <c r="EC1" s="466" t="s">
        <v>568</v>
      </c>
      <c r="ED1" s="466" t="s">
        <v>568</v>
      </c>
      <c r="EE1" s="466" t="s">
        <v>568</v>
      </c>
      <c r="EF1" s="466" t="s">
        <v>568</v>
      </c>
      <c r="EG1" s="466" t="s">
        <v>568</v>
      </c>
      <c r="EH1" s="466" t="s">
        <v>568</v>
      </c>
      <c r="EI1" s="466" t="s">
        <v>568</v>
      </c>
      <c r="EJ1" s="466" t="s">
        <v>568</v>
      </c>
      <c r="EK1" s="466" t="s">
        <v>568</v>
      </c>
      <c r="EL1" s="466" t="s">
        <v>568</v>
      </c>
      <c r="EM1" s="466" t="s">
        <v>568</v>
      </c>
      <c r="EN1" s="466" t="s">
        <v>568</v>
      </c>
      <c r="EO1" s="466" t="s">
        <v>568</v>
      </c>
      <c r="EP1" s="466" t="s">
        <v>568</v>
      </c>
      <c r="EQ1" s="466" t="s">
        <v>568</v>
      </c>
      <c r="ER1" s="466" t="s">
        <v>568</v>
      </c>
      <c r="ES1" s="466" t="s">
        <v>568</v>
      </c>
      <c r="ET1" s="466" t="s">
        <v>568</v>
      </c>
      <c r="EU1" s="466" t="s">
        <v>568</v>
      </c>
      <c r="EV1" s="466" t="s">
        <v>568</v>
      </c>
      <c r="EW1" s="466" t="s">
        <v>568</v>
      </c>
      <c r="EX1" s="466" t="s">
        <v>568</v>
      </c>
      <c r="EY1" s="466" t="s">
        <v>568</v>
      </c>
      <c r="EZ1" s="466" t="s">
        <v>568</v>
      </c>
      <c r="FA1" s="466" t="s">
        <v>568</v>
      </c>
      <c r="FB1" s="466" t="s">
        <v>568</v>
      </c>
      <c r="FC1" s="466" t="s">
        <v>568</v>
      </c>
      <c r="FD1" s="466" t="s">
        <v>568</v>
      </c>
      <c r="FE1" s="466" t="s">
        <v>568</v>
      </c>
      <c r="FF1" s="466" t="s">
        <v>568</v>
      </c>
      <c r="FG1" s="466" t="s">
        <v>568</v>
      </c>
      <c r="FH1" s="466" t="s">
        <v>568</v>
      </c>
      <c r="FI1" s="466" t="s">
        <v>568</v>
      </c>
      <c r="FJ1" s="466" t="s">
        <v>568</v>
      </c>
      <c r="FK1" s="466" t="s">
        <v>568</v>
      </c>
      <c r="FL1" s="466" t="s">
        <v>568</v>
      </c>
      <c r="FM1" s="466" t="s">
        <v>568</v>
      </c>
      <c r="FN1" s="466" t="s">
        <v>568</v>
      </c>
      <c r="FO1" s="466" t="s">
        <v>568</v>
      </c>
      <c r="FP1" s="466" t="s">
        <v>568</v>
      </c>
      <c r="FQ1" s="466" t="s">
        <v>568</v>
      </c>
      <c r="FR1" s="466" t="s">
        <v>568</v>
      </c>
      <c r="FS1" s="466" t="s">
        <v>568</v>
      </c>
      <c r="FT1" s="466" t="s">
        <v>568</v>
      </c>
      <c r="FU1" s="466" t="s">
        <v>568</v>
      </c>
      <c r="FV1" s="466" t="s">
        <v>568</v>
      </c>
      <c r="FW1" s="466" t="s">
        <v>568</v>
      </c>
      <c r="FX1" s="466" t="s">
        <v>568</v>
      </c>
      <c r="FY1" s="466" t="s">
        <v>568</v>
      </c>
      <c r="FZ1" s="466" t="s">
        <v>568</v>
      </c>
      <c r="GA1" s="466" t="s">
        <v>568</v>
      </c>
      <c r="GB1" s="466" t="s">
        <v>568</v>
      </c>
      <c r="GC1" s="466" t="s">
        <v>568</v>
      </c>
      <c r="GD1" s="466" t="s">
        <v>568</v>
      </c>
      <c r="GE1" s="466" t="s">
        <v>568</v>
      </c>
      <c r="GF1" s="466" t="s">
        <v>568</v>
      </c>
      <c r="GG1" s="466" t="s">
        <v>568</v>
      </c>
      <c r="GH1" s="466" t="s">
        <v>568</v>
      </c>
      <c r="GI1" s="466" t="s">
        <v>568</v>
      </c>
      <c r="GJ1" s="466" t="s">
        <v>568</v>
      </c>
      <c r="GK1" s="466" t="s">
        <v>568</v>
      </c>
      <c r="GL1" s="466" t="s">
        <v>568</v>
      </c>
      <c r="GM1" s="466" t="s">
        <v>568</v>
      </c>
      <c r="GN1" s="466" t="s">
        <v>568</v>
      </c>
      <c r="GO1" s="466" t="s">
        <v>568</v>
      </c>
      <c r="GP1" s="466" t="s">
        <v>568</v>
      </c>
      <c r="GQ1" s="466" t="s">
        <v>568</v>
      </c>
      <c r="GR1" s="466" t="s">
        <v>568</v>
      </c>
      <c r="GS1" s="466" t="s">
        <v>568</v>
      </c>
      <c r="GT1" s="466" t="s">
        <v>568</v>
      </c>
      <c r="GU1" s="466" t="s">
        <v>568</v>
      </c>
      <c r="GV1" s="466" t="s">
        <v>568</v>
      </c>
      <c r="GW1" s="466" t="s">
        <v>568</v>
      </c>
      <c r="GX1" s="466" t="s">
        <v>568</v>
      </c>
      <c r="GY1" s="466" t="s">
        <v>568</v>
      </c>
      <c r="GZ1" s="466" t="s">
        <v>568</v>
      </c>
      <c r="HA1" s="466" t="s">
        <v>568</v>
      </c>
      <c r="HB1" s="466" t="s">
        <v>568</v>
      </c>
      <c r="HC1" s="466" t="s">
        <v>568</v>
      </c>
      <c r="HD1" s="466" t="s">
        <v>568</v>
      </c>
      <c r="HE1" s="466" t="s">
        <v>568</v>
      </c>
      <c r="HF1" s="466" t="s">
        <v>568</v>
      </c>
      <c r="HG1" s="466" t="s">
        <v>568</v>
      </c>
      <c r="HH1" s="466" t="s">
        <v>568</v>
      </c>
      <c r="HI1" s="466" t="s">
        <v>568</v>
      </c>
      <c r="HJ1" s="466" t="s">
        <v>568</v>
      </c>
      <c r="HK1" s="466" t="s">
        <v>568</v>
      </c>
      <c r="HL1" s="466" t="s">
        <v>568</v>
      </c>
      <c r="HM1" s="466" t="s">
        <v>568</v>
      </c>
      <c r="HN1" s="466" t="s">
        <v>568</v>
      </c>
      <c r="HO1" s="466" t="s">
        <v>568</v>
      </c>
      <c r="HP1" s="466" t="s">
        <v>568</v>
      </c>
      <c r="HQ1" s="466" t="s">
        <v>568</v>
      </c>
      <c r="HR1" s="466" t="s">
        <v>568</v>
      </c>
      <c r="HS1" s="466" t="s">
        <v>568</v>
      </c>
      <c r="HT1" s="466" t="s">
        <v>568</v>
      </c>
      <c r="HU1" s="466" t="s">
        <v>568</v>
      </c>
      <c r="HV1" s="466" t="s">
        <v>568</v>
      </c>
      <c r="HW1" s="466" t="s">
        <v>568</v>
      </c>
      <c r="HX1" s="466" t="s">
        <v>568</v>
      </c>
      <c r="HY1" s="466" t="s">
        <v>568</v>
      </c>
      <c r="HZ1" s="466" t="s">
        <v>568</v>
      </c>
      <c r="IA1" s="466" t="s">
        <v>568</v>
      </c>
      <c r="IB1" s="466" t="s">
        <v>568</v>
      </c>
      <c r="IC1" s="466" t="s">
        <v>568</v>
      </c>
      <c r="ID1" s="466" t="s">
        <v>568</v>
      </c>
      <c r="IE1" s="466" t="s">
        <v>568</v>
      </c>
      <c r="IF1" s="466" t="s">
        <v>568</v>
      </c>
      <c r="IG1" s="466" t="s">
        <v>568</v>
      </c>
      <c r="IH1" s="466" t="s">
        <v>568</v>
      </c>
      <c r="II1" s="466" t="s">
        <v>568</v>
      </c>
      <c r="IJ1" s="466" t="s">
        <v>568</v>
      </c>
      <c r="IK1" s="466" t="s">
        <v>568</v>
      </c>
      <c r="IL1" s="466" t="s">
        <v>568</v>
      </c>
      <c r="IM1" s="466" t="s">
        <v>568</v>
      </c>
      <c r="IN1" s="466" t="s">
        <v>568</v>
      </c>
      <c r="IO1" s="466" t="s">
        <v>568</v>
      </c>
      <c r="IP1" s="466" t="s">
        <v>568</v>
      </c>
      <c r="IQ1" s="466" t="s">
        <v>568</v>
      </c>
      <c r="IR1" s="466" t="s">
        <v>568</v>
      </c>
      <c r="IS1" s="466" t="s">
        <v>568</v>
      </c>
      <c r="IT1" s="466" t="s">
        <v>568</v>
      </c>
      <c r="IU1" s="466" t="s">
        <v>568</v>
      </c>
      <c r="IV1" s="466" t="s">
        <v>568</v>
      </c>
    </row>
    <row r="2" spans="1:256" s="181" customFormat="1" ht="20.25" customHeight="1">
      <c r="A2" s="466" t="str">
        <f>'Sources and Use'!A3</f>
        <v>Site:</v>
      </c>
      <c r="B2" s="179"/>
      <c r="C2" s="466"/>
      <c r="D2" s="466"/>
      <c r="E2" s="466"/>
      <c r="F2" s="466"/>
      <c r="G2" s="466"/>
      <c r="H2" s="466"/>
      <c r="I2" s="466"/>
    </row>
    <row r="3" spans="1:256" ht="36.75" customHeight="1">
      <c r="A3" s="485" t="s">
        <v>438</v>
      </c>
      <c r="B3" s="485"/>
      <c r="C3" s="486"/>
      <c r="D3" s="486"/>
      <c r="E3" s="486"/>
      <c r="F3" s="486"/>
      <c r="G3" s="486"/>
      <c r="H3" s="486"/>
      <c r="I3" s="486"/>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67"/>
      <c r="AJ3" s="467"/>
      <c r="AK3" s="467"/>
      <c r="AL3" s="467"/>
      <c r="AM3" s="467"/>
      <c r="AN3" s="467"/>
      <c r="AO3" s="467"/>
      <c r="AP3" s="467"/>
      <c r="AQ3" s="467"/>
      <c r="AR3" s="467"/>
      <c r="AS3" s="467"/>
      <c r="AT3" s="467"/>
      <c r="AU3" s="467"/>
      <c r="AV3" s="467"/>
      <c r="AW3" s="467"/>
      <c r="AX3" s="467"/>
      <c r="AY3" s="467"/>
      <c r="AZ3" s="467"/>
      <c r="BA3" s="467"/>
      <c r="BB3" s="467"/>
      <c r="BC3" s="467"/>
      <c r="BD3" s="467"/>
      <c r="BE3" s="467"/>
      <c r="BF3" s="467"/>
      <c r="BG3" s="467"/>
      <c r="BH3" s="467"/>
      <c r="BI3" s="467"/>
      <c r="BJ3" s="467"/>
      <c r="BK3" s="467"/>
      <c r="BL3" s="467"/>
      <c r="BM3" s="467"/>
      <c r="BN3" s="467"/>
      <c r="BO3" s="467"/>
      <c r="BP3" s="467"/>
      <c r="BQ3" s="467"/>
      <c r="BR3" s="467"/>
      <c r="BS3" s="467"/>
      <c r="BT3" s="467"/>
      <c r="BU3" s="467"/>
      <c r="BV3" s="467"/>
      <c r="BW3" s="467"/>
      <c r="BX3" s="467"/>
      <c r="BY3" s="467"/>
      <c r="BZ3" s="467"/>
      <c r="CA3" s="467"/>
      <c r="CB3" s="467"/>
      <c r="CC3" s="467"/>
      <c r="CD3" s="467"/>
      <c r="CE3" s="467"/>
      <c r="CF3" s="467"/>
      <c r="CG3" s="467"/>
      <c r="CH3" s="467"/>
      <c r="CI3" s="467"/>
      <c r="CJ3" s="467"/>
      <c r="CK3" s="467"/>
      <c r="CL3" s="467"/>
      <c r="CM3" s="467"/>
      <c r="CN3" s="467"/>
      <c r="CO3" s="467"/>
      <c r="CP3" s="467"/>
      <c r="CQ3" s="467"/>
      <c r="CR3" s="467"/>
      <c r="CS3" s="467"/>
      <c r="CT3" s="467"/>
      <c r="CU3" s="467"/>
      <c r="CV3" s="467"/>
      <c r="CW3" s="467"/>
      <c r="CX3" s="467"/>
      <c r="CY3" s="467"/>
      <c r="CZ3" s="467"/>
      <c r="DA3" s="467"/>
      <c r="DB3" s="467"/>
      <c r="DC3" s="467"/>
      <c r="DD3" s="467"/>
      <c r="DE3" s="467"/>
      <c r="DF3" s="467"/>
      <c r="DG3" s="467"/>
      <c r="DH3" s="467"/>
      <c r="DI3" s="467"/>
      <c r="DJ3" s="467"/>
      <c r="DK3" s="467"/>
      <c r="DL3" s="467"/>
      <c r="DM3" s="467"/>
      <c r="DN3" s="467"/>
      <c r="DO3" s="467"/>
      <c r="DP3" s="467"/>
      <c r="DQ3" s="467"/>
      <c r="DR3" s="467"/>
      <c r="DS3" s="467"/>
      <c r="DT3" s="467"/>
      <c r="DU3" s="467"/>
      <c r="DV3" s="467"/>
      <c r="DW3" s="467"/>
      <c r="DX3" s="467"/>
      <c r="DY3" s="467"/>
      <c r="DZ3" s="467"/>
      <c r="EA3" s="467"/>
      <c r="EB3" s="467"/>
      <c r="EC3" s="467"/>
      <c r="ED3" s="467"/>
      <c r="EE3" s="467"/>
      <c r="EF3" s="467"/>
      <c r="EG3" s="467"/>
      <c r="EH3" s="467"/>
      <c r="EI3" s="467"/>
      <c r="EJ3" s="467"/>
      <c r="EK3" s="467"/>
      <c r="EL3" s="467"/>
      <c r="EM3" s="467"/>
      <c r="EN3" s="467"/>
      <c r="EO3" s="467"/>
      <c r="EP3" s="467"/>
      <c r="EQ3" s="467"/>
      <c r="ER3" s="467"/>
      <c r="ES3" s="467"/>
      <c r="ET3" s="467"/>
      <c r="EU3" s="467"/>
      <c r="EV3" s="467"/>
      <c r="EW3" s="467"/>
      <c r="EX3" s="467"/>
      <c r="EY3" s="467"/>
      <c r="EZ3" s="467"/>
      <c r="FA3" s="467"/>
      <c r="FB3" s="467"/>
      <c r="FC3" s="467"/>
      <c r="FD3" s="467"/>
      <c r="FE3" s="467"/>
      <c r="FF3" s="467"/>
      <c r="FG3" s="467"/>
      <c r="FH3" s="467"/>
      <c r="FI3" s="467"/>
      <c r="FJ3" s="467"/>
      <c r="FK3" s="467"/>
      <c r="FL3" s="467"/>
      <c r="FM3" s="467"/>
      <c r="FN3" s="467"/>
      <c r="FO3" s="467"/>
      <c r="FP3" s="467"/>
      <c r="FQ3" s="467"/>
      <c r="FR3" s="467"/>
      <c r="FS3" s="467"/>
      <c r="FT3" s="467"/>
      <c r="FU3" s="467"/>
      <c r="FV3" s="467"/>
      <c r="FW3" s="467"/>
      <c r="FX3" s="467"/>
      <c r="FY3" s="467"/>
      <c r="FZ3" s="467"/>
      <c r="GA3" s="467"/>
      <c r="GB3" s="467"/>
      <c r="GC3" s="467"/>
      <c r="GD3" s="467"/>
      <c r="GE3" s="467"/>
      <c r="GF3" s="467"/>
      <c r="GG3" s="467"/>
      <c r="GH3" s="467"/>
      <c r="GI3" s="467"/>
      <c r="GJ3" s="467"/>
      <c r="GK3" s="467"/>
      <c r="GL3" s="467"/>
      <c r="GM3" s="467"/>
      <c r="GN3" s="467"/>
      <c r="GO3" s="467"/>
      <c r="GP3" s="467"/>
      <c r="GQ3" s="467"/>
      <c r="GR3" s="467"/>
      <c r="GS3" s="467"/>
      <c r="GT3" s="467"/>
      <c r="GU3" s="467"/>
      <c r="GV3" s="467"/>
      <c r="GW3" s="467"/>
      <c r="GX3" s="467"/>
      <c r="GY3" s="467"/>
      <c r="GZ3" s="467"/>
      <c r="HA3" s="467"/>
      <c r="HB3" s="467"/>
      <c r="HC3" s="467"/>
      <c r="HD3" s="467"/>
      <c r="HE3" s="467"/>
      <c r="HF3" s="467"/>
      <c r="HG3" s="467"/>
      <c r="HH3" s="467"/>
      <c r="HI3" s="467"/>
      <c r="HJ3" s="467"/>
      <c r="HK3" s="467"/>
      <c r="HL3" s="467"/>
      <c r="HM3" s="467"/>
      <c r="HN3" s="467"/>
      <c r="HO3" s="467"/>
      <c r="HP3" s="467"/>
      <c r="HQ3" s="467"/>
      <c r="HR3" s="467"/>
      <c r="HS3" s="467"/>
      <c r="HT3" s="467"/>
      <c r="HU3" s="467"/>
      <c r="HV3" s="467"/>
      <c r="HW3" s="467"/>
      <c r="HX3" s="467"/>
      <c r="HY3" s="467"/>
      <c r="HZ3" s="467"/>
      <c r="IA3" s="467"/>
      <c r="IB3" s="467"/>
      <c r="IC3" s="467"/>
      <c r="ID3" s="467"/>
      <c r="IE3" s="467"/>
      <c r="IF3" s="467"/>
      <c r="IG3" s="467"/>
      <c r="IH3" s="467"/>
      <c r="II3" s="467"/>
      <c r="IJ3" s="467"/>
      <c r="IK3" s="467"/>
      <c r="IL3" s="467"/>
      <c r="IM3" s="467"/>
      <c r="IN3" s="467"/>
      <c r="IO3" s="467"/>
      <c r="IP3" s="467"/>
      <c r="IQ3" s="467"/>
      <c r="IR3" s="467"/>
      <c r="IS3" s="467"/>
      <c r="IT3" s="467"/>
      <c r="IU3" s="467"/>
      <c r="IV3" s="467"/>
    </row>
    <row r="4" spans="1:256" ht="7.5" customHeight="1">
      <c r="A4" s="463"/>
      <c r="B4" s="463"/>
      <c r="C4" s="464"/>
      <c r="D4" s="464"/>
      <c r="E4" s="464"/>
      <c r="F4" s="464"/>
      <c r="G4" s="464"/>
      <c r="H4" s="464"/>
      <c r="I4" s="464"/>
      <c r="J4" s="467"/>
      <c r="K4" s="467"/>
      <c r="L4" s="467"/>
      <c r="M4" s="467"/>
      <c r="N4" s="467"/>
      <c r="O4" s="467"/>
      <c r="P4" s="467"/>
      <c r="Q4" s="467"/>
      <c r="R4" s="467"/>
      <c r="S4" s="467"/>
      <c r="T4" s="467"/>
      <c r="U4" s="467"/>
      <c r="V4" s="467"/>
      <c r="W4" s="467"/>
      <c r="X4" s="467"/>
      <c r="Y4" s="467"/>
      <c r="Z4" s="467"/>
      <c r="AA4" s="467"/>
      <c r="AB4" s="467"/>
      <c r="AC4" s="467"/>
      <c r="AD4" s="467"/>
      <c r="AE4" s="467"/>
      <c r="AF4" s="467"/>
      <c r="AG4" s="467"/>
      <c r="AH4" s="467"/>
      <c r="AI4" s="467"/>
      <c r="AJ4" s="467"/>
      <c r="AK4" s="467"/>
      <c r="AL4" s="467"/>
      <c r="AM4" s="467"/>
      <c r="AN4" s="467"/>
      <c r="AO4" s="467"/>
      <c r="AP4" s="467"/>
      <c r="AQ4" s="467"/>
      <c r="AR4" s="467"/>
      <c r="AS4" s="467"/>
      <c r="AT4" s="467"/>
      <c r="AU4" s="467"/>
      <c r="AV4" s="467"/>
      <c r="AW4" s="467"/>
      <c r="AX4" s="467"/>
      <c r="AY4" s="467"/>
      <c r="AZ4" s="467"/>
      <c r="BA4" s="467"/>
      <c r="BB4" s="467"/>
      <c r="BC4" s="467"/>
      <c r="BD4" s="467"/>
      <c r="BE4" s="467"/>
      <c r="BF4" s="467"/>
      <c r="BG4" s="467"/>
      <c r="BH4" s="467"/>
      <c r="BI4" s="467"/>
      <c r="BJ4" s="467"/>
      <c r="BK4" s="467"/>
      <c r="BL4" s="467"/>
      <c r="BM4" s="467"/>
      <c r="BN4" s="467"/>
      <c r="BO4" s="467"/>
      <c r="BP4" s="467"/>
      <c r="BQ4" s="467"/>
      <c r="BR4" s="467"/>
      <c r="BS4" s="467"/>
      <c r="BT4" s="467"/>
      <c r="BU4" s="467"/>
      <c r="BV4" s="467"/>
      <c r="BW4" s="467"/>
      <c r="BX4" s="467"/>
      <c r="BY4" s="467"/>
      <c r="BZ4" s="467"/>
      <c r="CA4" s="467"/>
      <c r="CB4" s="467"/>
      <c r="CC4" s="467"/>
      <c r="CD4" s="467"/>
      <c r="CE4" s="467"/>
      <c r="CF4" s="467"/>
      <c r="CG4" s="467"/>
      <c r="CH4" s="467"/>
      <c r="CI4" s="467"/>
      <c r="CJ4" s="467"/>
      <c r="CK4" s="467"/>
      <c r="CL4" s="467"/>
      <c r="CM4" s="467"/>
      <c r="CN4" s="467"/>
      <c r="CO4" s="467"/>
      <c r="CP4" s="467"/>
      <c r="CQ4" s="467"/>
      <c r="CR4" s="467"/>
      <c r="CS4" s="467"/>
      <c r="CT4" s="467"/>
      <c r="CU4" s="467"/>
      <c r="CV4" s="467"/>
      <c r="CW4" s="467"/>
      <c r="CX4" s="467"/>
      <c r="CY4" s="467"/>
      <c r="CZ4" s="467"/>
      <c r="DA4" s="467"/>
      <c r="DB4" s="467"/>
      <c r="DC4" s="467"/>
      <c r="DD4" s="467"/>
      <c r="DE4" s="467"/>
      <c r="DF4" s="467"/>
      <c r="DG4" s="467"/>
      <c r="DH4" s="467"/>
      <c r="DI4" s="467"/>
      <c r="DJ4" s="467"/>
      <c r="DK4" s="467"/>
      <c r="DL4" s="467"/>
      <c r="DM4" s="467"/>
      <c r="DN4" s="467"/>
      <c r="DO4" s="467"/>
      <c r="DP4" s="467"/>
      <c r="DQ4" s="467"/>
      <c r="DR4" s="467"/>
      <c r="DS4" s="467"/>
      <c r="DT4" s="467"/>
      <c r="DU4" s="467"/>
      <c r="DV4" s="467"/>
      <c r="DW4" s="467"/>
      <c r="DX4" s="467"/>
      <c r="DY4" s="467"/>
      <c r="DZ4" s="467"/>
      <c r="EA4" s="467"/>
      <c r="EB4" s="467"/>
      <c r="EC4" s="467"/>
      <c r="ED4" s="467"/>
      <c r="EE4" s="467"/>
      <c r="EF4" s="467"/>
      <c r="EG4" s="467"/>
      <c r="EH4" s="467"/>
      <c r="EI4" s="467"/>
      <c r="EJ4" s="467"/>
      <c r="EK4" s="467"/>
      <c r="EL4" s="467"/>
      <c r="EM4" s="467"/>
      <c r="EN4" s="467"/>
      <c r="EO4" s="467"/>
      <c r="EP4" s="467"/>
      <c r="EQ4" s="467"/>
      <c r="ER4" s="467"/>
      <c r="ES4" s="467"/>
      <c r="ET4" s="467"/>
      <c r="EU4" s="467"/>
      <c r="EV4" s="467"/>
      <c r="EW4" s="467"/>
      <c r="EX4" s="467"/>
      <c r="EY4" s="467"/>
      <c r="EZ4" s="467"/>
      <c r="FA4" s="467"/>
      <c r="FB4" s="467"/>
      <c r="FC4" s="467"/>
      <c r="FD4" s="467"/>
      <c r="FE4" s="467"/>
      <c r="FF4" s="467"/>
      <c r="FG4" s="467"/>
      <c r="FH4" s="467"/>
      <c r="FI4" s="467"/>
      <c r="FJ4" s="467"/>
      <c r="FK4" s="467"/>
      <c r="FL4" s="467"/>
      <c r="FM4" s="467"/>
      <c r="FN4" s="467"/>
      <c r="FO4" s="467"/>
      <c r="FP4" s="467"/>
      <c r="FQ4" s="467"/>
      <c r="FR4" s="467"/>
      <c r="FS4" s="467"/>
      <c r="FT4" s="467"/>
      <c r="FU4" s="467"/>
      <c r="FV4" s="467"/>
      <c r="FW4" s="467"/>
      <c r="FX4" s="467"/>
      <c r="FY4" s="467"/>
      <c r="FZ4" s="467"/>
      <c r="GA4" s="467"/>
      <c r="GB4" s="467"/>
      <c r="GC4" s="467"/>
      <c r="GD4" s="467"/>
      <c r="GE4" s="467"/>
      <c r="GF4" s="467"/>
      <c r="GG4" s="467"/>
      <c r="GH4" s="467"/>
      <c r="GI4" s="467"/>
      <c r="GJ4" s="467"/>
      <c r="GK4" s="467"/>
      <c r="GL4" s="467"/>
      <c r="GM4" s="467"/>
      <c r="GN4" s="467"/>
      <c r="GO4" s="467"/>
      <c r="GP4" s="467"/>
      <c r="GQ4" s="467"/>
      <c r="GR4" s="467"/>
      <c r="GS4" s="467"/>
      <c r="GT4" s="467"/>
      <c r="GU4" s="467"/>
      <c r="GV4" s="467"/>
      <c r="GW4" s="467"/>
      <c r="GX4" s="467"/>
      <c r="GY4" s="467"/>
      <c r="GZ4" s="467"/>
      <c r="HA4" s="467"/>
      <c r="HB4" s="467"/>
      <c r="HC4" s="467"/>
      <c r="HD4" s="467"/>
      <c r="HE4" s="467"/>
      <c r="HF4" s="467"/>
      <c r="HG4" s="467"/>
      <c r="HH4" s="467"/>
      <c r="HI4" s="467"/>
      <c r="HJ4" s="467"/>
      <c r="HK4" s="467"/>
      <c r="HL4" s="467"/>
      <c r="HM4" s="467"/>
      <c r="HN4" s="467"/>
      <c r="HO4" s="467"/>
      <c r="HP4" s="467"/>
      <c r="HQ4" s="467"/>
      <c r="HR4" s="467"/>
      <c r="HS4" s="467"/>
      <c r="HT4" s="467"/>
      <c r="HU4" s="467"/>
      <c r="HV4" s="467"/>
      <c r="HW4" s="467"/>
      <c r="HX4" s="467"/>
      <c r="HY4" s="467"/>
      <c r="HZ4" s="467"/>
      <c r="IA4" s="467"/>
      <c r="IB4" s="467"/>
      <c r="IC4" s="467"/>
      <c r="ID4" s="467"/>
      <c r="IE4" s="467"/>
      <c r="IF4" s="467"/>
      <c r="IG4" s="467"/>
      <c r="IH4" s="467"/>
      <c r="II4" s="467"/>
      <c r="IJ4" s="467"/>
      <c r="IK4" s="467"/>
      <c r="IL4" s="467"/>
      <c r="IM4" s="467"/>
      <c r="IN4" s="467"/>
      <c r="IO4" s="467"/>
      <c r="IP4" s="467"/>
      <c r="IQ4" s="467"/>
      <c r="IR4" s="467"/>
      <c r="IS4" s="467"/>
      <c r="IT4" s="467"/>
      <c r="IU4" s="467"/>
      <c r="IV4" s="467"/>
    </row>
    <row r="5" spans="1:256" ht="20.25" customHeight="1">
      <c r="A5" s="467"/>
      <c r="B5" s="467"/>
      <c r="C5" s="162" t="s">
        <v>440</v>
      </c>
      <c r="D5" s="162"/>
      <c r="E5" s="162" t="s">
        <v>441</v>
      </c>
      <c r="F5" s="162"/>
      <c r="G5" s="162" t="s">
        <v>442</v>
      </c>
      <c r="H5" s="163"/>
      <c r="I5" s="164" t="s">
        <v>443</v>
      </c>
      <c r="J5" s="467"/>
      <c r="K5" s="467"/>
      <c r="L5" s="467"/>
      <c r="M5" s="467"/>
      <c r="N5" s="467"/>
      <c r="O5" s="467"/>
      <c r="P5" s="467"/>
      <c r="Q5" s="467"/>
      <c r="R5" s="467"/>
      <c r="S5" s="467"/>
      <c r="T5" s="467"/>
      <c r="U5" s="467"/>
      <c r="V5" s="467"/>
      <c r="W5" s="467"/>
      <c r="X5" s="467"/>
      <c r="Y5" s="467"/>
      <c r="Z5" s="467"/>
      <c r="AA5" s="467"/>
      <c r="AB5" s="467"/>
      <c r="AC5" s="467"/>
      <c r="AD5" s="467"/>
      <c r="AE5" s="467"/>
      <c r="AF5" s="467"/>
      <c r="AG5" s="467"/>
      <c r="AH5" s="467"/>
      <c r="AI5" s="467"/>
      <c r="AJ5" s="467"/>
      <c r="AK5" s="467"/>
      <c r="AL5" s="467"/>
      <c r="AM5" s="467"/>
      <c r="AN5" s="467"/>
      <c r="AO5" s="467"/>
      <c r="AP5" s="467"/>
      <c r="AQ5" s="467"/>
      <c r="AR5" s="467"/>
      <c r="AS5" s="467"/>
      <c r="AT5" s="467"/>
      <c r="AU5" s="467"/>
      <c r="AV5" s="467"/>
      <c r="AW5" s="467"/>
      <c r="AX5" s="467"/>
      <c r="AY5" s="467"/>
      <c r="AZ5" s="467"/>
      <c r="BA5" s="467"/>
      <c r="BB5" s="467"/>
      <c r="BC5" s="467"/>
      <c r="BD5" s="467"/>
      <c r="BE5" s="467"/>
      <c r="BF5" s="467"/>
      <c r="BG5" s="467"/>
      <c r="BH5" s="467"/>
      <c r="BI5" s="467"/>
      <c r="BJ5" s="467"/>
      <c r="BK5" s="467"/>
      <c r="BL5" s="467"/>
      <c r="BM5" s="467"/>
      <c r="BN5" s="467"/>
      <c r="BO5" s="467"/>
      <c r="BP5" s="467"/>
      <c r="BQ5" s="467"/>
      <c r="BR5" s="467"/>
      <c r="BS5" s="467"/>
      <c r="BT5" s="467"/>
      <c r="BU5" s="467"/>
      <c r="BV5" s="467"/>
      <c r="BW5" s="467"/>
      <c r="BX5" s="467"/>
      <c r="BY5" s="467"/>
      <c r="BZ5" s="467"/>
      <c r="CA5" s="467"/>
      <c r="CB5" s="467"/>
      <c r="CC5" s="467"/>
      <c r="CD5" s="467"/>
      <c r="CE5" s="467"/>
      <c r="CF5" s="467"/>
      <c r="CG5" s="467"/>
      <c r="CH5" s="467"/>
      <c r="CI5" s="467"/>
      <c r="CJ5" s="467"/>
      <c r="CK5" s="467"/>
      <c r="CL5" s="467"/>
      <c r="CM5" s="467"/>
      <c r="CN5" s="467"/>
      <c r="CO5" s="467"/>
      <c r="CP5" s="467"/>
      <c r="CQ5" s="467"/>
      <c r="CR5" s="467"/>
      <c r="CS5" s="467"/>
      <c r="CT5" s="467"/>
      <c r="CU5" s="467"/>
      <c r="CV5" s="467"/>
      <c r="CW5" s="467"/>
      <c r="CX5" s="467"/>
      <c r="CY5" s="467"/>
      <c r="CZ5" s="467"/>
      <c r="DA5" s="467"/>
      <c r="DB5" s="467"/>
      <c r="DC5" s="467"/>
      <c r="DD5" s="467"/>
      <c r="DE5" s="467"/>
      <c r="DF5" s="467"/>
      <c r="DG5" s="467"/>
      <c r="DH5" s="467"/>
      <c r="DI5" s="467"/>
      <c r="DJ5" s="467"/>
      <c r="DK5" s="467"/>
      <c r="DL5" s="467"/>
      <c r="DM5" s="467"/>
      <c r="DN5" s="467"/>
      <c r="DO5" s="467"/>
      <c r="DP5" s="467"/>
      <c r="DQ5" s="467"/>
      <c r="DR5" s="467"/>
      <c r="DS5" s="467"/>
      <c r="DT5" s="467"/>
      <c r="DU5" s="467"/>
      <c r="DV5" s="467"/>
      <c r="DW5" s="467"/>
      <c r="DX5" s="467"/>
      <c r="DY5" s="467"/>
      <c r="DZ5" s="467"/>
      <c r="EA5" s="467"/>
      <c r="EB5" s="467"/>
      <c r="EC5" s="467"/>
      <c r="ED5" s="467"/>
      <c r="EE5" s="467"/>
      <c r="EF5" s="467"/>
      <c r="EG5" s="467"/>
      <c r="EH5" s="467"/>
      <c r="EI5" s="467"/>
      <c r="EJ5" s="467"/>
      <c r="EK5" s="467"/>
      <c r="EL5" s="467"/>
      <c r="EM5" s="467"/>
      <c r="EN5" s="467"/>
      <c r="EO5" s="467"/>
      <c r="EP5" s="467"/>
      <c r="EQ5" s="467"/>
      <c r="ER5" s="467"/>
      <c r="ES5" s="467"/>
      <c r="ET5" s="467"/>
      <c r="EU5" s="467"/>
      <c r="EV5" s="467"/>
      <c r="EW5" s="467"/>
      <c r="EX5" s="467"/>
      <c r="EY5" s="467"/>
      <c r="EZ5" s="467"/>
      <c r="FA5" s="467"/>
      <c r="FB5" s="467"/>
      <c r="FC5" s="467"/>
      <c r="FD5" s="467"/>
      <c r="FE5" s="467"/>
      <c r="FF5" s="467"/>
      <c r="FG5" s="467"/>
      <c r="FH5" s="467"/>
      <c r="FI5" s="467"/>
      <c r="FJ5" s="467"/>
      <c r="FK5" s="467"/>
      <c r="FL5" s="467"/>
      <c r="FM5" s="467"/>
      <c r="FN5" s="467"/>
      <c r="FO5" s="467"/>
      <c r="FP5" s="467"/>
      <c r="FQ5" s="467"/>
      <c r="FR5" s="467"/>
      <c r="FS5" s="467"/>
      <c r="FT5" s="467"/>
      <c r="FU5" s="467"/>
      <c r="FV5" s="467"/>
      <c r="FW5" s="467"/>
      <c r="FX5" s="467"/>
      <c r="FY5" s="467"/>
      <c r="FZ5" s="467"/>
      <c r="GA5" s="467"/>
      <c r="GB5" s="467"/>
      <c r="GC5" s="467"/>
      <c r="GD5" s="467"/>
      <c r="GE5" s="467"/>
      <c r="GF5" s="467"/>
      <c r="GG5" s="467"/>
      <c r="GH5" s="467"/>
      <c r="GI5" s="467"/>
      <c r="GJ5" s="467"/>
      <c r="GK5" s="467"/>
      <c r="GL5" s="467"/>
      <c r="GM5" s="467"/>
      <c r="GN5" s="467"/>
      <c r="GO5" s="467"/>
      <c r="GP5" s="467"/>
      <c r="GQ5" s="467"/>
      <c r="GR5" s="467"/>
      <c r="GS5" s="467"/>
      <c r="GT5" s="467"/>
      <c r="GU5" s="467"/>
      <c r="GV5" s="467"/>
      <c r="GW5" s="467"/>
      <c r="GX5" s="467"/>
      <c r="GY5" s="467"/>
      <c r="GZ5" s="467"/>
      <c r="HA5" s="467"/>
      <c r="HB5" s="467"/>
      <c r="HC5" s="467"/>
      <c r="HD5" s="467"/>
      <c r="HE5" s="467"/>
      <c r="HF5" s="467"/>
      <c r="HG5" s="467"/>
      <c r="HH5" s="467"/>
      <c r="HI5" s="467"/>
      <c r="HJ5" s="467"/>
      <c r="HK5" s="467"/>
      <c r="HL5" s="467"/>
      <c r="HM5" s="467"/>
      <c r="HN5" s="467"/>
      <c r="HO5" s="467"/>
      <c r="HP5" s="467"/>
      <c r="HQ5" s="467"/>
      <c r="HR5" s="467"/>
      <c r="HS5" s="467"/>
      <c r="HT5" s="467"/>
      <c r="HU5" s="467"/>
      <c r="HV5" s="467"/>
      <c r="HW5" s="467"/>
      <c r="HX5" s="467"/>
      <c r="HY5" s="467"/>
      <c r="HZ5" s="467"/>
      <c r="IA5" s="467"/>
      <c r="IB5" s="467"/>
      <c r="IC5" s="467"/>
      <c r="ID5" s="467"/>
      <c r="IE5" s="467"/>
      <c r="IF5" s="467"/>
      <c r="IG5" s="467"/>
      <c r="IH5" s="467"/>
      <c r="II5" s="467"/>
      <c r="IJ5" s="467"/>
      <c r="IK5" s="467"/>
      <c r="IL5" s="467"/>
      <c r="IM5" s="467"/>
      <c r="IN5" s="467"/>
      <c r="IO5" s="467"/>
      <c r="IP5" s="467"/>
      <c r="IQ5" s="467"/>
      <c r="IR5" s="467"/>
      <c r="IS5" s="467"/>
      <c r="IT5" s="467"/>
      <c r="IU5" s="467"/>
      <c r="IV5" s="467"/>
    </row>
    <row r="6" spans="1:256" ht="18" customHeight="1">
      <c r="A6" s="165" t="s">
        <v>569</v>
      </c>
      <c r="B6" s="465"/>
      <c r="C6" s="166" t="s">
        <v>445</v>
      </c>
      <c r="D6" s="159"/>
      <c r="E6" s="166" t="s">
        <v>445</v>
      </c>
      <c r="F6" s="159"/>
      <c r="G6" s="166" t="s">
        <v>445</v>
      </c>
      <c r="H6" s="159"/>
      <c r="I6" s="167" t="s">
        <v>446</v>
      </c>
      <c r="J6" s="467"/>
      <c r="K6" s="467"/>
      <c r="L6" s="467"/>
      <c r="M6" s="467"/>
      <c r="N6" s="467"/>
      <c r="O6" s="467"/>
      <c r="P6" s="467"/>
      <c r="Q6" s="467"/>
      <c r="R6" s="467"/>
      <c r="S6" s="467"/>
      <c r="T6" s="467"/>
      <c r="U6" s="467"/>
      <c r="V6" s="467"/>
      <c r="W6" s="467"/>
      <c r="X6" s="467"/>
      <c r="Y6" s="467"/>
      <c r="Z6" s="467"/>
      <c r="AA6" s="467"/>
      <c r="AB6" s="467"/>
      <c r="AC6" s="467"/>
      <c r="AD6" s="467"/>
      <c r="AE6" s="467"/>
      <c r="AF6" s="467"/>
      <c r="AG6" s="467"/>
      <c r="AH6" s="467"/>
      <c r="AI6" s="467"/>
      <c r="AJ6" s="467"/>
      <c r="AK6" s="467"/>
      <c r="AL6" s="467"/>
      <c r="AM6" s="467"/>
      <c r="AN6" s="467"/>
      <c r="AO6" s="467"/>
      <c r="AP6" s="467"/>
      <c r="AQ6" s="467"/>
      <c r="AR6" s="467"/>
      <c r="AS6" s="467"/>
      <c r="AT6" s="467"/>
      <c r="AU6" s="467"/>
      <c r="AV6" s="467"/>
      <c r="AW6" s="467"/>
      <c r="AX6" s="467"/>
      <c r="AY6" s="467"/>
      <c r="AZ6" s="467"/>
      <c r="BA6" s="467"/>
      <c r="BB6" s="467"/>
      <c r="BC6" s="467"/>
      <c r="BD6" s="467"/>
      <c r="BE6" s="467"/>
      <c r="BF6" s="467"/>
      <c r="BG6" s="467"/>
      <c r="BH6" s="467"/>
      <c r="BI6" s="467"/>
      <c r="BJ6" s="467"/>
      <c r="BK6" s="467"/>
      <c r="BL6" s="467"/>
      <c r="BM6" s="467"/>
      <c r="BN6" s="467"/>
      <c r="BO6" s="467"/>
      <c r="BP6" s="467"/>
      <c r="BQ6" s="467"/>
      <c r="BR6" s="467"/>
      <c r="BS6" s="467"/>
      <c r="BT6" s="467"/>
      <c r="BU6" s="467"/>
      <c r="BV6" s="467"/>
      <c r="BW6" s="467"/>
      <c r="BX6" s="467"/>
      <c r="BY6" s="467"/>
      <c r="BZ6" s="467"/>
      <c r="CA6" s="467"/>
      <c r="CB6" s="467"/>
      <c r="CC6" s="467"/>
      <c r="CD6" s="467"/>
      <c r="CE6" s="467"/>
      <c r="CF6" s="467"/>
      <c r="CG6" s="467"/>
      <c r="CH6" s="467"/>
      <c r="CI6" s="467"/>
      <c r="CJ6" s="467"/>
      <c r="CK6" s="467"/>
      <c r="CL6" s="467"/>
      <c r="CM6" s="467"/>
      <c r="CN6" s="467"/>
      <c r="CO6" s="467"/>
      <c r="CP6" s="467"/>
      <c r="CQ6" s="467"/>
      <c r="CR6" s="467"/>
      <c r="CS6" s="467"/>
      <c r="CT6" s="467"/>
      <c r="CU6" s="467"/>
      <c r="CV6" s="467"/>
      <c r="CW6" s="467"/>
      <c r="CX6" s="467"/>
      <c r="CY6" s="467"/>
      <c r="CZ6" s="467"/>
      <c r="DA6" s="467"/>
      <c r="DB6" s="467"/>
      <c r="DC6" s="467"/>
      <c r="DD6" s="467"/>
      <c r="DE6" s="467"/>
      <c r="DF6" s="467"/>
      <c r="DG6" s="467"/>
      <c r="DH6" s="467"/>
      <c r="DI6" s="467"/>
      <c r="DJ6" s="467"/>
      <c r="DK6" s="467"/>
      <c r="DL6" s="467"/>
      <c r="DM6" s="467"/>
      <c r="DN6" s="467"/>
      <c r="DO6" s="467"/>
      <c r="DP6" s="467"/>
      <c r="DQ6" s="467"/>
      <c r="DR6" s="467"/>
      <c r="DS6" s="467"/>
      <c r="DT6" s="467"/>
      <c r="DU6" s="467"/>
      <c r="DV6" s="467"/>
      <c r="DW6" s="467"/>
      <c r="DX6" s="467"/>
      <c r="DY6" s="467"/>
      <c r="DZ6" s="467"/>
      <c r="EA6" s="467"/>
      <c r="EB6" s="467"/>
      <c r="EC6" s="467"/>
      <c r="ED6" s="467"/>
      <c r="EE6" s="467"/>
      <c r="EF6" s="467"/>
      <c r="EG6" s="467"/>
      <c r="EH6" s="467"/>
      <c r="EI6" s="467"/>
      <c r="EJ6" s="467"/>
      <c r="EK6" s="467"/>
      <c r="EL6" s="467"/>
      <c r="EM6" s="467"/>
      <c r="EN6" s="467"/>
      <c r="EO6" s="467"/>
      <c r="EP6" s="467"/>
      <c r="EQ6" s="467"/>
      <c r="ER6" s="467"/>
      <c r="ES6" s="467"/>
      <c r="ET6" s="467"/>
      <c r="EU6" s="467"/>
      <c r="EV6" s="467"/>
      <c r="EW6" s="467"/>
      <c r="EX6" s="467"/>
      <c r="EY6" s="467"/>
      <c r="EZ6" s="467"/>
      <c r="FA6" s="467"/>
      <c r="FB6" s="467"/>
      <c r="FC6" s="467"/>
      <c r="FD6" s="467"/>
      <c r="FE6" s="467"/>
      <c r="FF6" s="467"/>
      <c r="FG6" s="467"/>
      <c r="FH6" s="467"/>
      <c r="FI6" s="467"/>
      <c r="FJ6" s="467"/>
      <c r="FK6" s="467"/>
      <c r="FL6" s="467"/>
      <c r="FM6" s="467"/>
      <c r="FN6" s="467"/>
      <c r="FO6" s="467"/>
      <c r="FP6" s="467"/>
      <c r="FQ6" s="467"/>
      <c r="FR6" s="467"/>
      <c r="FS6" s="467"/>
      <c r="FT6" s="467"/>
      <c r="FU6" s="467"/>
      <c r="FV6" s="467"/>
      <c r="FW6" s="467"/>
      <c r="FX6" s="467"/>
      <c r="FY6" s="467"/>
      <c r="FZ6" s="467"/>
      <c r="GA6" s="467"/>
      <c r="GB6" s="467"/>
      <c r="GC6" s="467"/>
      <c r="GD6" s="467"/>
      <c r="GE6" s="467"/>
      <c r="GF6" s="467"/>
      <c r="GG6" s="467"/>
      <c r="GH6" s="467"/>
      <c r="GI6" s="467"/>
      <c r="GJ6" s="467"/>
      <c r="GK6" s="467"/>
      <c r="GL6" s="467"/>
      <c r="GM6" s="467"/>
      <c r="GN6" s="467"/>
      <c r="GO6" s="467"/>
      <c r="GP6" s="467"/>
      <c r="GQ6" s="467"/>
      <c r="GR6" s="467"/>
      <c r="GS6" s="467"/>
      <c r="GT6" s="467"/>
      <c r="GU6" s="467"/>
      <c r="GV6" s="467"/>
      <c r="GW6" s="467"/>
      <c r="GX6" s="467"/>
      <c r="GY6" s="467"/>
      <c r="GZ6" s="467"/>
      <c r="HA6" s="467"/>
      <c r="HB6" s="467"/>
      <c r="HC6" s="467"/>
      <c r="HD6" s="467"/>
      <c r="HE6" s="467"/>
      <c r="HF6" s="467"/>
      <c r="HG6" s="467"/>
      <c r="HH6" s="467"/>
      <c r="HI6" s="467"/>
      <c r="HJ6" s="467"/>
      <c r="HK6" s="467"/>
      <c r="HL6" s="467"/>
      <c r="HM6" s="467"/>
      <c r="HN6" s="467"/>
      <c r="HO6" s="467"/>
      <c r="HP6" s="467"/>
      <c r="HQ6" s="467"/>
      <c r="HR6" s="467"/>
      <c r="HS6" s="467"/>
      <c r="HT6" s="467"/>
      <c r="HU6" s="467"/>
      <c r="HV6" s="467"/>
      <c r="HW6" s="467"/>
      <c r="HX6" s="467"/>
      <c r="HY6" s="467"/>
      <c r="HZ6" s="467"/>
      <c r="IA6" s="467"/>
      <c r="IB6" s="467"/>
      <c r="IC6" s="467"/>
      <c r="ID6" s="467"/>
      <c r="IE6" s="467"/>
      <c r="IF6" s="467"/>
      <c r="IG6" s="467"/>
      <c r="IH6" s="467"/>
      <c r="II6" s="467"/>
      <c r="IJ6" s="467"/>
      <c r="IK6" s="467"/>
      <c r="IL6" s="467"/>
      <c r="IM6" s="467"/>
      <c r="IN6" s="467"/>
      <c r="IO6" s="467"/>
      <c r="IP6" s="467"/>
      <c r="IQ6" s="467"/>
      <c r="IR6" s="467"/>
      <c r="IS6" s="467"/>
      <c r="IT6" s="467"/>
      <c r="IU6" s="467"/>
      <c r="IV6" s="467"/>
    </row>
    <row r="7" spans="1:256" ht="18" customHeight="1">
      <c r="A7" s="837" t="s">
        <v>570</v>
      </c>
      <c r="B7" s="837"/>
      <c r="C7" s="838"/>
      <c r="D7" s="152"/>
      <c r="E7" s="838"/>
      <c r="F7" s="152"/>
      <c r="G7" s="838"/>
      <c r="H7" s="152"/>
      <c r="I7" s="168">
        <f>SUM(C7:G7)</f>
        <v>0</v>
      </c>
      <c r="J7" s="467"/>
      <c r="K7" s="467"/>
      <c r="L7" s="467"/>
      <c r="M7" s="467"/>
      <c r="N7" s="467"/>
      <c r="O7" s="467"/>
      <c r="P7" s="467"/>
      <c r="Q7" s="467"/>
      <c r="R7" s="467"/>
      <c r="S7" s="467"/>
      <c r="T7" s="467"/>
      <c r="U7" s="467"/>
      <c r="V7" s="467"/>
      <c r="W7" s="467"/>
      <c r="X7" s="467"/>
      <c r="Y7" s="467"/>
      <c r="Z7" s="467"/>
      <c r="AA7" s="467"/>
      <c r="AB7" s="467"/>
      <c r="AC7" s="467"/>
      <c r="AD7" s="467"/>
      <c r="AE7" s="467"/>
      <c r="AF7" s="467"/>
      <c r="AG7" s="467"/>
      <c r="AH7" s="467"/>
      <c r="AI7" s="467"/>
      <c r="AJ7" s="467"/>
      <c r="AK7" s="467"/>
      <c r="AL7" s="467"/>
      <c r="AM7" s="467"/>
      <c r="AN7" s="467"/>
      <c r="AO7" s="467"/>
      <c r="AP7" s="467"/>
      <c r="AQ7" s="467"/>
      <c r="AR7" s="467"/>
      <c r="AS7" s="467"/>
      <c r="AT7" s="467"/>
      <c r="AU7" s="467"/>
      <c r="AV7" s="467"/>
      <c r="AW7" s="467"/>
      <c r="AX7" s="467"/>
      <c r="AY7" s="467"/>
      <c r="AZ7" s="467"/>
      <c r="BA7" s="467"/>
      <c r="BB7" s="467"/>
      <c r="BC7" s="467"/>
      <c r="BD7" s="467"/>
      <c r="BE7" s="467"/>
      <c r="BF7" s="467"/>
      <c r="BG7" s="467"/>
      <c r="BH7" s="467"/>
      <c r="BI7" s="467"/>
      <c r="BJ7" s="467"/>
      <c r="BK7" s="467"/>
      <c r="BL7" s="467"/>
      <c r="BM7" s="467"/>
      <c r="BN7" s="467"/>
      <c r="BO7" s="467"/>
      <c r="BP7" s="467"/>
      <c r="BQ7" s="467"/>
      <c r="BR7" s="467"/>
      <c r="BS7" s="467"/>
      <c r="BT7" s="467"/>
      <c r="BU7" s="467"/>
      <c r="BV7" s="467"/>
      <c r="BW7" s="467"/>
      <c r="BX7" s="467"/>
      <c r="BY7" s="467"/>
      <c r="BZ7" s="467"/>
      <c r="CA7" s="467"/>
      <c r="CB7" s="467"/>
      <c r="CC7" s="467"/>
      <c r="CD7" s="467"/>
      <c r="CE7" s="467"/>
      <c r="CF7" s="467"/>
      <c r="CG7" s="467"/>
      <c r="CH7" s="467"/>
      <c r="CI7" s="467"/>
      <c r="CJ7" s="467"/>
      <c r="CK7" s="467"/>
      <c r="CL7" s="467"/>
      <c r="CM7" s="467"/>
      <c r="CN7" s="467"/>
      <c r="CO7" s="467"/>
      <c r="CP7" s="467"/>
      <c r="CQ7" s="467"/>
      <c r="CR7" s="467"/>
      <c r="CS7" s="467"/>
      <c r="CT7" s="467"/>
      <c r="CU7" s="467"/>
      <c r="CV7" s="467"/>
      <c r="CW7" s="467"/>
      <c r="CX7" s="467"/>
      <c r="CY7" s="467"/>
      <c r="CZ7" s="467"/>
      <c r="DA7" s="467"/>
      <c r="DB7" s="467"/>
      <c r="DC7" s="467"/>
      <c r="DD7" s="467"/>
      <c r="DE7" s="467"/>
      <c r="DF7" s="467"/>
      <c r="DG7" s="467"/>
      <c r="DH7" s="467"/>
      <c r="DI7" s="467"/>
      <c r="DJ7" s="467"/>
      <c r="DK7" s="467"/>
      <c r="DL7" s="467"/>
      <c r="DM7" s="467"/>
      <c r="DN7" s="467"/>
      <c r="DO7" s="467"/>
      <c r="DP7" s="467"/>
      <c r="DQ7" s="467"/>
      <c r="DR7" s="467"/>
      <c r="DS7" s="467"/>
      <c r="DT7" s="467"/>
      <c r="DU7" s="467"/>
      <c r="DV7" s="467"/>
      <c r="DW7" s="467"/>
      <c r="DX7" s="467"/>
      <c r="DY7" s="467"/>
      <c r="DZ7" s="467"/>
      <c r="EA7" s="467"/>
      <c r="EB7" s="467"/>
      <c r="EC7" s="467"/>
      <c r="ED7" s="467"/>
      <c r="EE7" s="467"/>
      <c r="EF7" s="467"/>
      <c r="EG7" s="467"/>
      <c r="EH7" s="467"/>
      <c r="EI7" s="467"/>
      <c r="EJ7" s="467"/>
      <c r="EK7" s="467"/>
      <c r="EL7" s="467"/>
      <c r="EM7" s="467"/>
      <c r="EN7" s="467"/>
      <c r="EO7" s="467"/>
      <c r="EP7" s="467"/>
      <c r="EQ7" s="467"/>
      <c r="ER7" s="467"/>
      <c r="ES7" s="467"/>
      <c r="ET7" s="467"/>
      <c r="EU7" s="467"/>
      <c r="EV7" s="467"/>
      <c r="EW7" s="467"/>
      <c r="EX7" s="467"/>
      <c r="EY7" s="467"/>
      <c r="EZ7" s="467"/>
      <c r="FA7" s="467"/>
      <c r="FB7" s="467"/>
      <c r="FC7" s="467"/>
      <c r="FD7" s="467"/>
      <c r="FE7" s="467"/>
      <c r="FF7" s="467"/>
      <c r="FG7" s="467"/>
      <c r="FH7" s="467"/>
      <c r="FI7" s="467"/>
      <c r="FJ7" s="467"/>
      <c r="FK7" s="467"/>
      <c r="FL7" s="467"/>
      <c r="FM7" s="467"/>
      <c r="FN7" s="467"/>
      <c r="FO7" s="467"/>
      <c r="FP7" s="467"/>
      <c r="FQ7" s="467"/>
      <c r="FR7" s="467"/>
      <c r="FS7" s="467"/>
      <c r="FT7" s="467"/>
      <c r="FU7" s="467"/>
      <c r="FV7" s="467"/>
      <c r="FW7" s="467"/>
      <c r="FX7" s="467"/>
      <c r="FY7" s="467"/>
      <c r="FZ7" s="467"/>
      <c r="GA7" s="467"/>
      <c r="GB7" s="467"/>
      <c r="GC7" s="467"/>
      <c r="GD7" s="467"/>
      <c r="GE7" s="467"/>
      <c r="GF7" s="467"/>
      <c r="GG7" s="467"/>
      <c r="GH7" s="467"/>
      <c r="GI7" s="467"/>
      <c r="GJ7" s="467"/>
      <c r="GK7" s="467"/>
      <c r="GL7" s="467"/>
      <c r="GM7" s="467"/>
      <c r="GN7" s="467"/>
      <c r="GO7" s="467"/>
      <c r="GP7" s="467"/>
      <c r="GQ7" s="467"/>
      <c r="GR7" s="467"/>
      <c r="GS7" s="467"/>
      <c r="GT7" s="467"/>
      <c r="GU7" s="467"/>
      <c r="GV7" s="467"/>
      <c r="GW7" s="467"/>
      <c r="GX7" s="467"/>
      <c r="GY7" s="467"/>
      <c r="GZ7" s="467"/>
      <c r="HA7" s="467"/>
      <c r="HB7" s="467"/>
      <c r="HC7" s="467"/>
      <c r="HD7" s="467"/>
      <c r="HE7" s="467"/>
      <c r="HF7" s="467"/>
      <c r="HG7" s="467"/>
      <c r="HH7" s="467"/>
      <c r="HI7" s="467"/>
      <c r="HJ7" s="467"/>
      <c r="HK7" s="467"/>
      <c r="HL7" s="467"/>
      <c r="HM7" s="467"/>
      <c r="HN7" s="467"/>
      <c r="HO7" s="467"/>
      <c r="HP7" s="467"/>
      <c r="HQ7" s="467"/>
      <c r="HR7" s="467"/>
      <c r="HS7" s="467"/>
      <c r="HT7" s="467"/>
      <c r="HU7" s="467"/>
      <c r="HV7" s="467"/>
      <c r="HW7" s="467"/>
      <c r="HX7" s="467"/>
      <c r="HY7" s="467"/>
      <c r="HZ7" s="467"/>
      <c r="IA7" s="467"/>
      <c r="IB7" s="467"/>
      <c r="IC7" s="467"/>
      <c r="ID7" s="467"/>
      <c r="IE7" s="467"/>
      <c r="IF7" s="467"/>
      <c r="IG7" s="467"/>
      <c r="IH7" s="467"/>
      <c r="II7" s="467"/>
      <c r="IJ7" s="467"/>
      <c r="IK7" s="467"/>
      <c r="IL7" s="467"/>
      <c r="IM7" s="467"/>
      <c r="IN7" s="467"/>
      <c r="IO7" s="467"/>
      <c r="IP7" s="467"/>
      <c r="IQ7" s="467"/>
      <c r="IR7" s="467"/>
      <c r="IS7" s="467"/>
      <c r="IT7" s="467"/>
      <c r="IU7" s="467"/>
      <c r="IV7" s="467"/>
    </row>
    <row r="8" spans="1:256" ht="18" customHeight="1">
      <c r="A8" s="837" t="s">
        <v>571</v>
      </c>
      <c r="B8" s="837"/>
      <c r="C8" s="838"/>
      <c r="D8" s="152"/>
      <c r="E8" s="838"/>
      <c r="F8" s="152"/>
      <c r="G8" s="838"/>
      <c r="H8" s="152"/>
      <c r="I8" s="168">
        <f>SUM(C8:G8)</f>
        <v>0</v>
      </c>
      <c r="J8" s="467"/>
      <c r="K8" s="467"/>
      <c r="L8" s="467"/>
      <c r="M8" s="467"/>
      <c r="N8" s="467"/>
      <c r="O8" s="467"/>
      <c r="P8" s="467"/>
      <c r="Q8" s="467"/>
      <c r="R8" s="467"/>
      <c r="S8" s="467"/>
      <c r="T8" s="467"/>
      <c r="U8" s="467"/>
      <c r="V8" s="467"/>
      <c r="W8" s="467"/>
      <c r="X8" s="467"/>
      <c r="Y8" s="467"/>
      <c r="Z8" s="467"/>
      <c r="AA8" s="467"/>
      <c r="AB8" s="467"/>
      <c r="AC8" s="467"/>
      <c r="AD8" s="467"/>
      <c r="AE8" s="467"/>
      <c r="AF8" s="467"/>
      <c r="AG8" s="467"/>
      <c r="AH8" s="467"/>
      <c r="AI8" s="467"/>
      <c r="AJ8" s="467"/>
      <c r="AK8" s="467"/>
      <c r="AL8" s="467"/>
      <c r="AM8" s="467"/>
      <c r="AN8" s="467"/>
      <c r="AO8" s="467"/>
      <c r="AP8" s="467"/>
      <c r="AQ8" s="467"/>
      <c r="AR8" s="467"/>
      <c r="AS8" s="467"/>
      <c r="AT8" s="467"/>
      <c r="AU8" s="467"/>
      <c r="AV8" s="467"/>
      <c r="AW8" s="467"/>
      <c r="AX8" s="467"/>
      <c r="AY8" s="467"/>
      <c r="AZ8" s="467"/>
      <c r="BA8" s="467"/>
      <c r="BB8" s="467"/>
      <c r="BC8" s="467"/>
      <c r="BD8" s="467"/>
      <c r="BE8" s="467"/>
      <c r="BF8" s="467"/>
      <c r="BG8" s="467"/>
      <c r="BH8" s="467"/>
      <c r="BI8" s="467"/>
      <c r="BJ8" s="467"/>
      <c r="BK8" s="467"/>
      <c r="BL8" s="467"/>
      <c r="BM8" s="467"/>
      <c r="BN8" s="467"/>
      <c r="BO8" s="467"/>
      <c r="BP8" s="467"/>
      <c r="BQ8" s="467"/>
      <c r="BR8" s="467"/>
      <c r="BS8" s="467"/>
      <c r="BT8" s="467"/>
      <c r="BU8" s="467"/>
      <c r="BV8" s="467"/>
      <c r="BW8" s="467"/>
      <c r="BX8" s="467"/>
      <c r="BY8" s="467"/>
      <c r="BZ8" s="467"/>
      <c r="CA8" s="467"/>
      <c r="CB8" s="467"/>
      <c r="CC8" s="467"/>
      <c r="CD8" s="467"/>
      <c r="CE8" s="467"/>
      <c r="CF8" s="467"/>
      <c r="CG8" s="467"/>
      <c r="CH8" s="467"/>
      <c r="CI8" s="467"/>
      <c r="CJ8" s="467"/>
      <c r="CK8" s="467"/>
      <c r="CL8" s="467"/>
      <c r="CM8" s="467"/>
      <c r="CN8" s="467"/>
      <c r="CO8" s="467"/>
      <c r="CP8" s="467"/>
      <c r="CQ8" s="467"/>
      <c r="CR8" s="467"/>
      <c r="CS8" s="467"/>
      <c r="CT8" s="467"/>
      <c r="CU8" s="467"/>
      <c r="CV8" s="467"/>
      <c r="CW8" s="467"/>
      <c r="CX8" s="467"/>
      <c r="CY8" s="467"/>
      <c r="CZ8" s="467"/>
      <c r="DA8" s="467"/>
      <c r="DB8" s="467"/>
      <c r="DC8" s="467"/>
      <c r="DD8" s="467"/>
      <c r="DE8" s="467"/>
      <c r="DF8" s="467"/>
      <c r="DG8" s="467"/>
      <c r="DH8" s="467"/>
      <c r="DI8" s="467"/>
      <c r="DJ8" s="467"/>
      <c r="DK8" s="467"/>
      <c r="DL8" s="467"/>
      <c r="DM8" s="467"/>
      <c r="DN8" s="467"/>
      <c r="DO8" s="467"/>
      <c r="DP8" s="467"/>
      <c r="DQ8" s="467"/>
      <c r="DR8" s="467"/>
      <c r="DS8" s="467"/>
      <c r="DT8" s="467"/>
      <c r="DU8" s="467"/>
      <c r="DV8" s="467"/>
      <c r="DW8" s="467"/>
      <c r="DX8" s="467"/>
      <c r="DY8" s="467"/>
      <c r="DZ8" s="467"/>
      <c r="EA8" s="467"/>
      <c r="EB8" s="467"/>
      <c r="EC8" s="467"/>
      <c r="ED8" s="467"/>
      <c r="EE8" s="467"/>
      <c r="EF8" s="467"/>
      <c r="EG8" s="467"/>
      <c r="EH8" s="467"/>
      <c r="EI8" s="467"/>
      <c r="EJ8" s="467"/>
      <c r="EK8" s="467"/>
      <c r="EL8" s="467"/>
      <c r="EM8" s="467"/>
      <c r="EN8" s="467"/>
      <c r="EO8" s="467"/>
      <c r="EP8" s="467"/>
      <c r="EQ8" s="467"/>
      <c r="ER8" s="467"/>
      <c r="ES8" s="467"/>
      <c r="ET8" s="467"/>
      <c r="EU8" s="467"/>
      <c r="EV8" s="467"/>
      <c r="EW8" s="467"/>
      <c r="EX8" s="467"/>
      <c r="EY8" s="467"/>
      <c r="EZ8" s="467"/>
      <c r="FA8" s="467"/>
      <c r="FB8" s="467"/>
      <c r="FC8" s="467"/>
      <c r="FD8" s="467"/>
      <c r="FE8" s="467"/>
      <c r="FF8" s="467"/>
      <c r="FG8" s="467"/>
      <c r="FH8" s="467"/>
      <c r="FI8" s="467"/>
      <c r="FJ8" s="467"/>
      <c r="FK8" s="467"/>
      <c r="FL8" s="467"/>
      <c r="FM8" s="467"/>
      <c r="FN8" s="467"/>
      <c r="FO8" s="467"/>
      <c r="FP8" s="467"/>
      <c r="FQ8" s="467"/>
      <c r="FR8" s="467"/>
      <c r="FS8" s="467"/>
      <c r="FT8" s="467"/>
      <c r="FU8" s="467"/>
      <c r="FV8" s="467"/>
      <c r="FW8" s="467"/>
      <c r="FX8" s="467"/>
      <c r="FY8" s="467"/>
      <c r="FZ8" s="467"/>
      <c r="GA8" s="467"/>
      <c r="GB8" s="467"/>
      <c r="GC8" s="467"/>
      <c r="GD8" s="467"/>
      <c r="GE8" s="467"/>
      <c r="GF8" s="467"/>
      <c r="GG8" s="467"/>
      <c r="GH8" s="467"/>
      <c r="GI8" s="467"/>
      <c r="GJ8" s="467"/>
      <c r="GK8" s="467"/>
      <c r="GL8" s="467"/>
      <c r="GM8" s="467"/>
      <c r="GN8" s="467"/>
      <c r="GO8" s="467"/>
      <c r="GP8" s="467"/>
      <c r="GQ8" s="467"/>
      <c r="GR8" s="467"/>
      <c r="GS8" s="467"/>
      <c r="GT8" s="467"/>
      <c r="GU8" s="467"/>
      <c r="GV8" s="467"/>
      <c r="GW8" s="467"/>
      <c r="GX8" s="467"/>
      <c r="GY8" s="467"/>
      <c r="GZ8" s="467"/>
      <c r="HA8" s="467"/>
      <c r="HB8" s="467"/>
      <c r="HC8" s="467"/>
      <c r="HD8" s="467"/>
      <c r="HE8" s="467"/>
      <c r="HF8" s="467"/>
      <c r="HG8" s="467"/>
      <c r="HH8" s="467"/>
      <c r="HI8" s="467"/>
      <c r="HJ8" s="467"/>
      <c r="HK8" s="467"/>
      <c r="HL8" s="467"/>
      <c r="HM8" s="467"/>
      <c r="HN8" s="467"/>
      <c r="HO8" s="467"/>
      <c r="HP8" s="467"/>
      <c r="HQ8" s="467"/>
      <c r="HR8" s="467"/>
      <c r="HS8" s="467"/>
      <c r="HT8" s="467"/>
      <c r="HU8" s="467"/>
      <c r="HV8" s="467"/>
      <c r="HW8" s="467"/>
      <c r="HX8" s="467"/>
      <c r="HY8" s="467"/>
      <c r="HZ8" s="467"/>
      <c r="IA8" s="467"/>
      <c r="IB8" s="467"/>
      <c r="IC8" s="467"/>
      <c r="ID8" s="467"/>
      <c r="IE8" s="467"/>
      <c r="IF8" s="467"/>
      <c r="IG8" s="467"/>
      <c r="IH8" s="467"/>
      <c r="II8" s="467"/>
      <c r="IJ8" s="467"/>
      <c r="IK8" s="467"/>
      <c r="IL8" s="467"/>
      <c r="IM8" s="467"/>
      <c r="IN8" s="467"/>
      <c r="IO8" s="467"/>
      <c r="IP8" s="467"/>
      <c r="IQ8" s="467"/>
      <c r="IR8" s="467"/>
      <c r="IS8" s="467"/>
      <c r="IT8" s="467"/>
      <c r="IU8" s="467"/>
      <c r="IV8" s="467"/>
    </row>
    <row r="9" spans="1:256" ht="18" customHeight="1">
      <c r="A9" s="837" t="s">
        <v>572</v>
      </c>
      <c r="B9" s="837"/>
      <c r="C9" s="838"/>
      <c r="D9" s="152"/>
      <c r="E9" s="838"/>
      <c r="F9" s="152"/>
      <c r="G9" s="838"/>
      <c r="H9" s="152"/>
      <c r="I9" s="168">
        <f>SUM(C9:G9)</f>
        <v>0</v>
      </c>
      <c r="J9" s="467"/>
      <c r="K9" s="467"/>
      <c r="L9" s="467"/>
      <c r="M9" s="467"/>
      <c r="N9" s="467"/>
      <c r="O9" s="467"/>
      <c r="P9" s="467"/>
      <c r="Q9" s="467"/>
      <c r="R9" s="467"/>
      <c r="S9" s="467"/>
      <c r="T9" s="467"/>
      <c r="U9" s="467"/>
      <c r="V9" s="467"/>
      <c r="W9" s="467"/>
      <c r="X9" s="467"/>
      <c r="Y9" s="467"/>
      <c r="Z9" s="467"/>
      <c r="AA9" s="467"/>
      <c r="AB9" s="467"/>
      <c r="AC9" s="467"/>
      <c r="AD9" s="467"/>
      <c r="AE9" s="467"/>
      <c r="AF9" s="467"/>
      <c r="AG9" s="467"/>
      <c r="AH9" s="467"/>
      <c r="AI9" s="467"/>
      <c r="AJ9" s="467"/>
      <c r="AK9" s="467"/>
      <c r="AL9" s="467"/>
      <c r="AM9" s="467"/>
      <c r="AN9" s="467"/>
      <c r="AO9" s="467"/>
      <c r="AP9" s="467"/>
      <c r="AQ9" s="467"/>
      <c r="AR9" s="467"/>
      <c r="AS9" s="467"/>
      <c r="AT9" s="467"/>
      <c r="AU9" s="467"/>
      <c r="AV9" s="467"/>
      <c r="AW9" s="467"/>
      <c r="AX9" s="467"/>
      <c r="AY9" s="467"/>
      <c r="AZ9" s="467"/>
      <c r="BA9" s="467"/>
      <c r="BB9" s="467"/>
      <c r="BC9" s="467"/>
      <c r="BD9" s="467"/>
      <c r="BE9" s="467"/>
      <c r="BF9" s="467"/>
      <c r="BG9" s="467"/>
      <c r="BH9" s="467"/>
      <c r="BI9" s="467"/>
      <c r="BJ9" s="467"/>
      <c r="BK9" s="467"/>
      <c r="BL9" s="467"/>
      <c r="BM9" s="467"/>
      <c r="BN9" s="467"/>
      <c r="BO9" s="467"/>
      <c r="BP9" s="467"/>
      <c r="BQ9" s="467"/>
      <c r="BR9" s="467"/>
      <c r="BS9" s="467"/>
      <c r="BT9" s="467"/>
      <c r="BU9" s="467"/>
      <c r="BV9" s="467"/>
      <c r="BW9" s="467"/>
      <c r="BX9" s="467"/>
      <c r="BY9" s="467"/>
      <c r="BZ9" s="467"/>
      <c r="CA9" s="467"/>
      <c r="CB9" s="467"/>
      <c r="CC9" s="467"/>
      <c r="CD9" s="467"/>
      <c r="CE9" s="467"/>
      <c r="CF9" s="467"/>
      <c r="CG9" s="467"/>
      <c r="CH9" s="467"/>
      <c r="CI9" s="467"/>
      <c r="CJ9" s="467"/>
      <c r="CK9" s="467"/>
      <c r="CL9" s="467"/>
      <c r="CM9" s="467"/>
      <c r="CN9" s="467"/>
      <c r="CO9" s="467"/>
      <c r="CP9" s="467"/>
      <c r="CQ9" s="467"/>
      <c r="CR9" s="467"/>
      <c r="CS9" s="467"/>
      <c r="CT9" s="467"/>
      <c r="CU9" s="467"/>
      <c r="CV9" s="467"/>
      <c r="CW9" s="467"/>
      <c r="CX9" s="467"/>
      <c r="CY9" s="467"/>
      <c r="CZ9" s="467"/>
      <c r="DA9" s="467"/>
      <c r="DB9" s="467"/>
      <c r="DC9" s="467"/>
      <c r="DD9" s="467"/>
      <c r="DE9" s="467"/>
      <c r="DF9" s="467"/>
      <c r="DG9" s="467"/>
      <c r="DH9" s="467"/>
      <c r="DI9" s="467"/>
      <c r="DJ9" s="467"/>
      <c r="DK9" s="467"/>
      <c r="DL9" s="467"/>
      <c r="DM9" s="467"/>
      <c r="DN9" s="467"/>
      <c r="DO9" s="467"/>
      <c r="DP9" s="467"/>
      <c r="DQ9" s="467"/>
      <c r="DR9" s="467"/>
      <c r="DS9" s="467"/>
      <c r="DT9" s="467"/>
      <c r="DU9" s="467"/>
      <c r="DV9" s="467"/>
      <c r="DW9" s="467"/>
      <c r="DX9" s="467"/>
      <c r="DY9" s="467"/>
      <c r="DZ9" s="467"/>
      <c r="EA9" s="467"/>
      <c r="EB9" s="467"/>
      <c r="EC9" s="467"/>
      <c r="ED9" s="467"/>
      <c r="EE9" s="467"/>
      <c r="EF9" s="467"/>
      <c r="EG9" s="467"/>
      <c r="EH9" s="467"/>
      <c r="EI9" s="467"/>
      <c r="EJ9" s="467"/>
      <c r="EK9" s="467"/>
      <c r="EL9" s="467"/>
      <c r="EM9" s="467"/>
      <c r="EN9" s="467"/>
      <c r="EO9" s="467"/>
      <c r="EP9" s="467"/>
      <c r="EQ9" s="467"/>
      <c r="ER9" s="467"/>
      <c r="ES9" s="467"/>
      <c r="ET9" s="467"/>
      <c r="EU9" s="467"/>
      <c r="EV9" s="467"/>
      <c r="EW9" s="467"/>
      <c r="EX9" s="467"/>
      <c r="EY9" s="467"/>
      <c r="EZ9" s="467"/>
      <c r="FA9" s="467"/>
      <c r="FB9" s="467"/>
      <c r="FC9" s="467"/>
      <c r="FD9" s="467"/>
      <c r="FE9" s="467"/>
      <c r="FF9" s="467"/>
      <c r="FG9" s="467"/>
      <c r="FH9" s="467"/>
      <c r="FI9" s="467"/>
      <c r="FJ9" s="467"/>
      <c r="FK9" s="467"/>
      <c r="FL9" s="467"/>
      <c r="FM9" s="467"/>
      <c r="FN9" s="467"/>
      <c r="FO9" s="467"/>
      <c r="FP9" s="467"/>
      <c r="FQ9" s="467"/>
      <c r="FR9" s="467"/>
      <c r="FS9" s="467"/>
      <c r="FT9" s="467"/>
      <c r="FU9" s="467"/>
      <c r="FV9" s="467"/>
      <c r="FW9" s="467"/>
      <c r="FX9" s="467"/>
      <c r="FY9" s="467"/>
      <c r="FZ9" s="467"/>
      <c r="GA9" s="467"/>
      <c r="GB9" s="467"/>
      <c r="GC9" s="467"/>
      <c r="GD9" s="467"/>
      <c r="GE9" s="467"/>
      <c r="GF9" s="467"/>
      <c r="GG9" s="467"/>
      <c r="GH9" s="467"/>
      <c r="GI9" s="467"/>
      <c r="GJ9" s="467"/>
      <c r="GK9" s="467"/>
      <c r="GL9" s="467"/>
      <c r="GM9" s="467"/>
      <c r="GN9" s="467"/>
      <c r="GO9" s="467"/>
      <c r="GP9" s="467"/>
      <c r="GQ9" s="467"/>
      <c r="GR9" s="467"/>
      <c r="GS9" s="467"/>
      <c r="GT9" s="467"/>
      <c r="GU9" s="467"/>
      <c r="GV9" s="467"/>
      <c r="GW9" s="467"/>
      <c r="GX9" s="467"/>
      <c r="GY9" s="467"/>
      <c r="GZ9" s="467"/>
      <c r="HA9" s="467"/>
      <c r="HB9" s="467"/>
      <c r="HC9" s="467"/>
      <c r="HD9" s="467"/>
      <c r="HE9" s="467"/>
      <c r="HF9" s="467"/>
      <c r="HG9" s="467"/>
      <c r="HH9" s="467"/>
      <c r="HI9" s="467"/>
      <c r="HJ9" s="467"/>
      <c r="HK9" s="467"/>
      <c r="HL9" s="467"/>
      <c r="HM9" s="467"/>
      <c r="HN9" s="467"/>
      <c r="HO9" s="467"/>
      <c r="HP9" s="467"/>
      <c r="HQ9" s="467"/>
      <c r="HR9" s="467"/>
      <c r="HS9" s="467"/>
      <c r="HT9" s="467"/>
      <c r="HU9" s="467"/>
      <c r="HV9" s="467"/>
      <c r="HW9" s="467"/>
      <c r="HX9" s="467"/>
      <c r="HY9" s="467"/>
      <c r="HZ9" s="467"/>
      <c r="IA9" s="467"/>
      <c r="IB9" s="467"/>
      <c r="IC9" s="467"/>
      <c r="ID9" s="467"/>
      <c r="IE9" s="467"/>
      <c r="IF9" s="467"/>
      <c r="IG9" s="467"/>
      <c r="IH9" s="467"/>
      <c r="II9" s="467"/>
      <c r="IJ9" s="467"/>
      <c r="IK9" s="467"/>
      <c r="IL9" s="467"/>
      <c r="IM9" s="467"/>
      <c r="IN9" s="467"/>
      <c r="IO9" s="467"/>
      <c r="IP9" s="467"/>
      <c r="IQ9" s="467"/>
      <c r="IR9" s="467"/>
      <c r="IS9" s="467"/>
      <c r="IT9" s="467"/>
      <c r="IU9" s="467"/>
      <c r="IV9" s="467"/>
    </row>
    <row r="10" spans="1:256" ht="18" customHeight="1">
      <c r="A10" s="837" t="s">
        <v>573</v>
      </c>
      <c r="B10" s="837"/>
      <c r="C10" s="838"/>
      <c r="D10" s="152"/>
      <c r="E10" s="838"/>
      <c r="F10" s="152"/>
      <c r="G10" s="838"/>
      <c r="H10" s="152"/>
      <c r="I10" s="168">
        <f>SUM(C10:G10)</f>
        <v>0</v>
      </c>
      <c r="J10" s="467"/>
      <c r="K10" s="467"/>
      <c r="L10" s="467"/>
      <c r="M10" s="467"/>
      <c r="N10" s="467"/>
      <c r="O10" s="467"/>
      <c r="P10" s="467"/>
      <c r="Q10" s="467"/>
      <c r="R10" s="467"/>
      <c r="S10" s="467"/>
      <c r="T10" s="467"/>
      <c r="U10" s="467"/>
      <c r="V10" s="467"/>
      <c r="W10" s="467"/>
      <c r="X10" s="467"/>
      <c r="Y10" s="467"/>
      <c r="Z10" s="467"/>
      <c r="AA10" s="467"/>
      <c r="AB10" s="467"/>
      <c r="AC10" s="467"/>
      <c r="AD10" s="467"/>
      <c r="AE10" s="467"/>
      <c r="AF10" s="467"/>
      <c r="AG10" s="467"/>
      <c r="AH10" s="467"/>
      <c r="AI10" s="467"/>
      <c r="AJ10" s="467"/>
      <c r="AK10" s="467"/>
      <c r="AL10" s="467"/>
      <c r="AM10" s="467"/>
      <c r="AN10" s="467"/>
      <c r="AO10" s="467"/>
      <c r="AP10" s="467"/>
      <c r="AQ10" s="467"/>
      <c r="AR10" s="467"/>
      <c r="AS10" s="467"/>
      <c r="AT10" s="467"/>
      <c r="AU10" s="467"/>
      <c r="AV10" s="467"/>
      <c r="AW10" s="467"/>
      <c r="AX10" s="467"/>
      <c r="AY10" s="467"/>
      <c r="AZ10" s="467"/>
      <c r="BA10" s="467"/>
      <c r="BB10" s="467"/>
      <c r="BC10" s="467"/>
      <c r="BD10" s="467"/>
      <c r="BE10" s="467"/>
      <c r="BF10" s="467"/>
      <c r="BG10" s="467"/>
      <c r="BH10" s="467"/>
      <c r="BI10" s="467"/>
      <c r="BJ10" s="467"/>
      <c r="BK10" s="467"/>
      <c r="BL10" s="467"/>
      <c r="BM10" s="467"/>
      <c r="BN10" s="467"/>
      <c r="BO10" s="467"/>
      <c r="BP10" s="467"/>
      <c r="BQ10" s="467"/>
      <c r="BR10" s="467"/>
      <c r="BS10" s="467"/>
      <c r="BT10" s="467"/>
      <c r="BU10" s="467"/>
      <c r="BV10" s="467"/>
      <c r="BW10" s="467"/>
      <c r="BX10" s="467"/>
      <c r="BY10" s="467"/>
      <c r="BZ10" s="467"/>
      <c r="CA10" s="467"/>
      <c r="CB10" s="467"/>
      <c r="CC10" s="467"/>
      <c r="CD10" s="467"/>
      <c r="CE10" s="467"/>
      <c r="CF10" s="467"/>
      <c r="CG10" s="467"/>
      <c r="CH10" s="467"/>
      <c r="CI10" s="467"/>
      <c r="CJ10" s="467"/>
      <c r="CK10" s="467"/>
      <c r="CL10" s="467"/>
      <c r="CM10" s="467"/>
      <c r="CN10" s="467"/>
      <c r="CO10" s="467"/>
      <c r="CP10" s="467"/>
      <c r="CQ10" s="467"/>
      <c r="CR10" s="467"/>
      <c r="CS10" s="467"/>
      <c r="CT10" s="467"/>
      <c r="CU10" s="467"/>
      <c r="CV10" s="467"/>
      <c r="CW10" s="467"/>
      <c r="CX10" s="467"/>
      <c r="CY10" s="467"/>
      <c r="CZ10" s="467"/>
      <c r="DA10" s="467"/>
      <c r="DB10" s="467"/>
      <c r="DC10" s="467"/>
      <c r="DD10" s="467"/>
      <c r="DE10" s="467"/>
      <c r="DF10" s="467"/>
      <c r="DG10" s="467"/>
      <c r="DH10" s="467"/>
      <c r="DI10" s="467"/>
      <c r="DJ10" s="467"/>
      <c r="DK10" s="467"/>
      <c r="DL10" s="467"/>
      <c r="DM10" s="467"/>
      <c r="DN10" s="467"/>
      <c r="DO10" s="467"/>
      <c r="DP10" s="467"/>
      <c r="DQ10" s="467"/>
      <c r="DR10" s="467"/>
      <c r="DS10" s="467"/>
      <c r="DT10" s="467"/>
      <c r="DU10" s="467"/>
      <c r="DV10" s="467"/>
      <c r="DW10" s="467"/>
      <c r="DX10" s="467"/>
      <c r="DY10" s="467"/>
      <c r="DZ10" s="467"/>
      <c r="EA10" s="467"/>
      <c r="EB10" s="467"/>
      <c r="EC10" s="467"/>
      <c r="ED10" s="467"/>
      <c r="EE10" s="467"/>
      <c r="EF10" s="467"/>
      <c r="EG10" s="467"/>
      <c r="EH10" s="467"/>
      <c r="EI10" s="467"/>
      <c r="EJ10" s="467"/>
      <c r="EK10" s="467"/>
      <c r="EL10" s="467"/>
      <c r="EM10" s="467"/>
      <c r="EN10" s="467"/>
      <c r="EO10" s="467"/>
      <c r="EP10" s="467"/>
      <c r="EQ10" s="467"/>
      <c r="ER10" s="467"/>
      <c r="ES10" s="467"/>
      <c r="ET10" s="467"/>
      <c r="EU10" s="467"/>
      <c r="EV10" s="467"/>
      <c r="EW10" s="467"/>
      <c r="EX10" s="467"/>
      <c r="EY10" s="467"/>
      <c r="EZ10" s="467"/>
      <c r="FA10" s="467"/>
      <c r="FB10" s="467"/>
      <c r="FC10" s="467"/>
      <c r="FD10" s="467"/>
      <c r="FE10" s="467"/>
      <c r="FF10" s="467"/>
      <c r="FG10" s="467"/>
      <c r="FH10" s="467"/>
      <c r="FI10" s="467"/>
      <c r="FJ10" s="467"/>
      <c r="FK10" s="467"/>
      <c r="FL10" s="467"/>
      <c r="FM10" s="467"/>
      <c r="FN10" s="467"/>
      <c r="FO10" s="467"/>
      <c r="FP10" s="467"/>
      <c r="FQ10" s="467"/>
      <c r="FR10" s="467"/>
      <c r="FS10" s="467"/>
      <c r="FT10" s="467"/>
      <c r="FU10" s="467"/>
      <c r="FV10" s="467"/>
      <c r="FW10" s="467"/>
      <c r="FX10" s="467"/>
      <c r="FY10" s="467"/>
      <c r="FZ10" s="467"/>
      <c r="GA10" s="467"/>
      <c r="GB10" s="467"/>
      <c r="GC10" s="467"/>
      <c r="GD10" s="467"/>
      <c r="GE10" s="467"/>
      <c r="GF10" s="467"/>
      <c r="GG10" s="467"/>
      <c r="GH10" s="467"/>
      <c r="GI10" s="467"/>
      <c r="GJ10" s="467"/>
      <c r="GK10" s="467"/>
      <c r="GL10" s="467"/>
      <c r="GM10" s="467"/>
      <c r="GN10" s="467"/>
      <c r="GO10" s="467"/>
      <c r="GP10" s="467"/>
      <c r="GQ10" s="467"/>
      <c r="GR10" s="467"/>
      <c r="GS10" s="467"/>
      <c r="GT10" s="467"/>
      <c r="GU10" s="467"/>
      <c r="GV10" s="467"/>
      <c r="GW10" s="467"/>
      <c r="GX10" s="467"/>
      <c r="GY10" s="467"/>
      <c r="GZ10" s="467"/>
      <c r="HA10" s="467"/>
      <c r="HB10" s="467"/>
      <c r="HC10" s="467"/>
      <c r="HD10" s="467"/>
      <c r="HE10" s="467"/>
      <c r="HF10" s="467"/>
      <c r="HG10" s="467"/>
      <c r="HH10" s="467"/>
      <c r="HI10" s="467"/>
      <c r="HJ10" s="467"/>
      <c r="HK10" s="467"/>
      <c r="HL10" s="467"/>
      <c r="HM10" s="467"/>
      <c r="HN10" s="467"/>
      <c r="HO10" s="467"/>
      <c r="HP10" s="467"/>
      <c r="HQ10" s="467"/>
      <c r="HR10" s="467"/>
      <c r="HS10" s="467"/>
      <c r="HT10" s="467"/>
      <c r="HU10" s="467"/>
      <c r="HV10" s="467"/>
      <c r="HW10" s="467"/>
      <c r="HX10" s="467"/>
      <c r="HY10" s="467"/>
      <c r="HZ10" s="467"/>
      <c r="IA10" s="467"/>
      <c r="IB10" s="467"/>
      <c r="IC10" s="467"/>
      <c r="ID10" s="467"/>
      <c r="IE10" s="467"/>
      <c r="IF10" s="467"/>
      <c r="IG10" s="467"/>
      <c r="IH10" s="467"/>
      <c r="II10" s="467"/>
      <c r="IJ10" s="467"/>
      <c r="IK10" s="467"/>
      <c r="IL10" s="467"/>
      <c r="IM10" s="467"/>
      <c r="IN10" s="467"/>
      <c r="IO10" s="467"/>
      <c r="IP10" s="467"/>
      <c r="IQ10" s="467"/>
      <c r="IR10" s="467"/>
      <c r="IS10" s="467"/>
      <c r="IT10" s="467"/>
      <c r="IU10" s="467"/>
      <c r="IV10" s="467"/>
    </row>
    <row r="11" spans="1:256" ht="20.25" customHeight="1">
      <c r="A11" s="467" t="s">
        <v>569</v>
      </c>
      <c r="B11" s="467"/>
      <c r="C11" s="839">
        <f>SUM(C7:C10)</f>
        <v>0</v>
      </c>
      <c r="D11" s="169"/>
      <c r="E11" s="839">
        <f>SUM(E7:E10)</f>
        <v>0</v>
      </c>
      <c r="F11" s="169"/>
      <c r="G11" s="839">
        <f>SUM(G7:G10)</f>
        <v>0</v>
      </c>
      <c r="H11" s="169"/>
      <c r="I11" s="839">
        <f>SUM(I7:I10)</f>
        <v>0</v>
      </c>
      <c r="J11" s="467"/>
      <c r="K11" s="467"/>
      <c r="L11" s="467"/>
      <c r="M11" s="467"/>
      <c r="N11" s="467"/>
      <c r="O11" s="467"/>
      <c r="P11" s="467"/>
      <c r="Q11" s="467"/>
      <c r="R11" s="467"/>
      <c r="S11" s="467"/>
      <c r="T11" s="467"/>
      <c r="U11" s="467"/>
      <c r="V11" s="467"/>
      <c r="W11" s="467"/>
      <c r="X11" s="467"/>
      <c r="Y11" s="467"/>
      <c r="Z11" s="467"/>
      <c r="AA11" s="467"/>
      <c r="AB11" s="467"/>
      <c r="AC11" s="467"/>
      <c r="AD11" s="467"/>
      <c r="AE11" s="467"/>
      <c r="AF11" s="467"/>
      <c r="AG11" s="467"/>
      <c r="AH11" s="467"/>
      <c r="AI11" s="467"/>
      <c r="AJ11" s="467"/>
      <c r="AK11" s="467"/>
      <c r="AL11" s="467"/>
      <c r="AM11" s="467"/>
      <c r="AN11" s="467"/>
      <c r="AO11" s="467"/>
      <c r="AP11" s="467"/>
      <c r="AQ11" s="467"/>
      <c r="AR11" s="467"/>
      <c r="AS11" s="467"/>
      <c r="AT11" s="467"/>
      <c r="AU11" s="467"/>
      <c r="AV11" s="467"/>
      <c r="AW11" s="467"/>
      <c r="AX11" s="467"/>
      <c r="AY11" s="467"/>
      <c r="AZ11" s="467"/>
      <c r="BA11" s="467"/>
      <c r="BB11" s="467"/>
      <c r="BC11" s="467"/>
      <c r="BD11" s="467"/>
      <c r="BE11" s="467"/>
      <c r="BF11" s="467"/>
      <c r="BG11" s="467"/>
      <c r="BH11" s="467"/>
      <c r="BI11" s="467"/>
      <c r="BJ11" s="467"/>
      <c r="BK11" s="467"/>
      <c r="BL11" s="467"/>
      <c r="BM11" s="467"/>
      <c r="BN11" s="467"/>
      <c r="BO11" s="467"/>
      <c r="BP11" s="467"/>
      <c r="BQ11" s="467"/>
      <c r="BR11" s="467"/>
      <c r="BS11" s="467"/>
      <c r="BT11" s="467"/>
      <c r="BU11" s="467"/>
      <c r="BV11" s="467"/>
      <c r="BW11" s="467"/>
      <c r="BX11" s="467"/>
      <c r="BY11" s="467"/>
      <c r="BZ11" s="467"/>
      <c r="CA11" s="467"/>
      <c r="CB11" s="467"/>
      <c r="CC11" s="467"/>
      <c r="CD11" s="467"/>
      <c r="CE11" s="467"/>
      <c r="CF11" s="467"/>
      <c r="CG11" s="467"/>
      <c r="CH11" s="467"/>
      <c r="CI11" s="467"/>
      <c r="CJ11" s="467"/>
      <c r="CK11" s="467"/>
      <c r="CL11" s="467"/>
      <c r="CM11" s="467"/>
      <c r="CN11" s="467"/>
      <c r="CO11" s="467"/>
      <c r="CP11" s="467"/>
      <c r="CQ11" s="467"/>
      <c r="CR11" s="467"/>
      <c r="CS11" s="467"/>
      <c r="CT11" s="467"/>
      <c r="CU11" s="467"/>
      <c r="CV11" s="467"/>
      <c r="CW11" s="467"/>
      <c r="CX11" s="467"/>
      <c r="CY11" s="467"/>
      <c r="CZ11" s="467"/>
      <c r="DA11" s="467"/>
      <c r="DB11" s="467"/>
      <c r="DC11" s="467"/>
      <c r="DD11" s="467"/>
      <c r="DE11" s="467"/>
      <c r="DF11" s="467"/>
      <c r="DG11" s="467"/>
      <c r="DH11" s="467"/>
      <c r="DI11" s="467"/>
      <c r="DJ11" s="467"/>
      <c r="DK11" s="467"/>
      <c r="DL11" s="467"/>
      <c r="DM11" s="467"/>
      <c r="DN11" s="467"/>
      <c r="DO11" s="467"/>
      <c r="DP11" s="467"/>
      <c r="DQ11" s="467"/>
      <c r="DR11" s="467"/>
      <c r="DS11" s="467"/>
      <c r="DT11" s="467"/>
      <c r="DU11" s="467"/>
      <c r="DV11" s="467"/>
      <c r="DW11" s="467"/>
      <c r="DX11" s="467"/>
      <c r="DY11" s="467"/>
      <c r="DZ11" s="467"/>
      <c r="EA11" s="467"/>
      <c r="EB11" s="467"/>
      <c r="EC11" s="467"/>
      <c r="ED11" s="467"/>
      <c r="EE11" s="467"/>
      <c r="EF11" s="467"/>
      <c r="EG11" s="467"/>
      <c r="EH11" s="467"/>
      <c r="EI11" s="467"/>
      <c r="EJ11" s="467"/>
      <c r="EK11" s="467"/>
      <c r="EL11" s="467"/>
      <c r="EM11" s="467"/>
      <c r="EN11" s="467"/>
      <c r="EO11" s="467"/>
      <c r="EP11" s="467"/>
      <c r="EQ11" s="467"/>
      <c r="ER11" s="467"/>
      <c r="ES11" s="467"/>
      <c r="ET11" s="467"/>
      <c r="EU11" s="467"/>
      <c r="EV11" s="467"/>
      <c r="EW11" s="467"/>
      <c r="EX11" s="467"/>
      <c r="EY11" s="467"/>
      <c r="EZ11" s="467"/>
      <c r="FA11" s="467"/>
      <c r="FB11" s="467"/>
      <c r="FC11" s="467"/>
      <c r="FD11" s="467"/>
      <c r="FE11" s="467"/>
      <c r="FF11" s="467"/>
      <c r="FG11" s="467"/>
      <c r="FH11" s="467"/>
      <c r="FI11" s="467"/>
      <c r="FJ11" s="467"/>
      <c r="FK11" s="467"/>
      <c r="FL11" s="467"/>
      <c r="FM11" s="467"/>
      <c r="FN11" s="467"/>
      <c r="FO11" s="467"/>
      <c r="FP11" s="467"/>
      <c r="FQ11" s="467"/>
      <c r="FR11" s="467"/>
      <c r="FS11" s="467"/>
      <c r="FT11" s="467"/>
      <c r="FU11" s="467"/>
      <c r="FV11" s="467"/>
      <c r="FW11" s="467"/>
      <c r="FX11" s="467"/>
      <c r="FY11" s="467"/>
      <c r="FZ11" s="467"/>
      <c r="GA11" s="467"/>
      <c r="GB11" s="467"/>
      <c r="GC11" s="467"/>
      <c r="GD11" s="467"/>
      <c r="GE11" s="467"/>
      <c r="GF11" s="467"/>
      <c r="GG11" s="467"/>
      <c r="GH11" s="467"/>
      <c r="GI11" s="467"/>
      <c r="GJ11" s="467"/>
      <c r="GK11" s="467"/>
      <c r="GL11" s="467"/>
      <c r="GM11" s="467"/>
      <c r="GN11" s="467"/>
      <c r="GO11" s="467"/>
      <c r="GP11" s="467"/>
      <c r="GQ11" s="467"/>
      <c r="GR11" s="467"/>
      <c r="GS11" s="467"/>
      <c r="GT11" s="467"/>
      <c r="GU11" s="467"/>
      <c r="GV11" s="467"/>
      <c r="GW11" s="467"/>
      <c r="GX11" s="467"/>
      <c r="GY11" s="467"/>
      <c r="GZ11" s="467"/>
      <c r="HA11" s="467"/>
      <c r="HB11" s="467"/>
      <c r="HC11" s="467"/>
      <c r="HD11" s="467"/>
      <c r="HE11" s="467"/>
      <c r="HF11" s="467"/>
      <c r="HG11" s="467"/>
      <c r="HH11" s="467"/>
      <c r="HI11" s="467"/>
      <c r="HJ11" s="467"/>
      <c r="HK11" s="467"/>
      <c r="HL11" s="467"/>
      <c r="HM11" s="467"/>
      <c r="HN11" s="467"/>
      <c r="HO11" s="467"/>
      <c r="HP11" s="467"/>
      <c r="HQ11" s="467"/>
      <c r="HR11" s="467"/>
      <c r="HS11" s="467"/>
      <c r="HT11" s="467"/>
      <c r="HU11" s="467"/>
      <c r="HV11" s="467"/>
      <c r="HW11" s="467"/>
      <c r="HX11" s="467"/>
      <c r="HY11" s="467"/>
      <c r="HZ11" s="467"/>
      <c r="IA11" s="467"/>
      <c r="IB11" s="467"/>
      <c r="IC11" s="467"/>
      <c r="ID11" s="467"/>
      <c r="IE11" s="467"/>
      <c r="IF11" s="467"/>
      <c r="IG11" s="467"/>
      <c r="IH11" s="467"/>
      <c r="II11" s="467"/>
      <c r="IJ11" s="467"/>
      <c r="IK11" s="467"/>
      <c r="IL11" s="467"/>
      <c r="IM11" s="467"/>
      <c r="IN11" s="467"/>
      <c r="IO11" s="467"/>
      <c r="IP11" s="467"/>
      <c r="IQ11" s="467"/>
      <c r="IR11" s="467"/>
      <c r="IS11" s="467"/>
      <c r="IT11" s="467"/>
      <c r="IU11" s="467"/>
      <c r="IV11" s="467"/>
    </row>
    <row r="12" spans="1:256" ht="16.5" customHeight="1">
      <c r="A12" s="467"/>
      <c r="B12" s="467"/>
      <c r="C12" s="152"/>
      <c r="D12" s="152"/>
      <c r="E12" s="152"/>
      <c r="F12" s="152"/>
      <c r="G12" s="152"/>
      <c r="H12" s="152"/>
      <c r="I12" s="169"/>
      <c r="J12" s="467"/>
      <c r="K12" s="467"/>
      <c r="L12" s="467"/>
      <c r="M12" s="467"/>
      <c r="N12" s="467"/>
      <c r="O12" s="467"/>
      <c r="P12" s="467"/>
      <c r="Q12" s="467"/>
      <c r="R12" s="467"/>
      <c r="S12" s="467"/>
      <c r="T12" s="467"/>
      <c r="U12" s="467"/>
      <c r="V12" s="467"/>
      <c r="W12" s="467"/>
      <c r="X12" s="467"/>
      <c r="Y12" s="467"/>
      <c r="Z12" s="467"/>
      <c r="AA12" s="467"/>
      <c r="AB12" s="467"/>
      <c r="AC12" s="467"/>
      <c r="AD12" s="467"/>
      <c r="AE12" s="467"/>
      <c r="AF12" s="467"/>
      <c r="AG12" s="467"/>
      <c r="AH12" s="467"/>
      <c r="AI12" s="467"/>
      <c r="AJ12" s="467"/>
      <c r="AK12" s="467"/>
      <c r="AL12" s="467"/>
      <c r="AM12" s="467"/>
      <c r="AN12" s="467"/>
      <c r="AO12" s="467"/>
      <c r="AP12" s="467"/>
      <c r="AQ12" s="467"/>
      <c r="AR12" s="467"/>
      <c r="AS12" s="467"/>
      <c r="AT12" s="467"/>
      <c r="AU12" s="467"/>
      <c r="AV12" s="467"/>
      <c r="AW12" s="467"/>
      <c r="AX12" s="467"/>
      <c r="AY12" s="467"/>
      <c r="AZ12" s="467"/>
      <c r="BA12" s="467"/>
      <c r="BB12" s="467"/>
      <c r="BC12" s="467"/>
      <c r="BD12" s="467"/>
      <c r="BE12" s="467"/>
      <c r="BF12" s="467"/>
      <c r="BG12" s="467"/>
      <c r="BH12" s="467"/>
      <c r="BI12" s="467"/>
      <c r="BJ12" s="467"/>
      <c r="BK12" s="467"/>
      <c r="BL12" s="467"/>
      <c r="BM12" s="467"/>
      <c r="BN12" s="467"/>
      <c r="BO12" s="467"/>
      <c r="BP12" s="467"/>
      <c r="BQ12" s="467"/>
      <c r="BR12" s="467"/>
      <c r="BS12" s="467"/>
      <c r="BT12" s="467"/>
      <c r="BU12" s="467"/>
      <c r="BV12" s="467"/>
      <c r="BW12" s="467"/>
      <c r="BX12" s="467"/>
      <c r="BY12" s="467"/>
      <c r="BZ12" s="467"/>
      <c r="CA12" s="467"/>
      <c r="CB12" s="467"/>
      <c r="CC12" s="467"/>
      <c r="CD12" s="467"/>
      <c r="CE12" s="467"/>
      <c r="CF12" s="467"/>
      <c r="CG12" s="467"/>
      <c r="CH12" s="467"/>
      <c r="CI12" s="467"/>
      <c r="CJ12" s="467"/>
      <c r="CK12" s="467"/>
      <c r="CL12" s="467"/>
      <c r="CM12" s="467"/>
      <c r="CN12" s="467"/>
      <c r="CO12" s="467"/>
      <c r="CP12" s="467"/>
      <c r="CQ12" s="467"/>
      <c r="CR12" s="467"/>
      <c r="CS12" s="467"/>
      <c r="CT12" s="467"/>
      <c r="CU12" s="467"/>
      <c r="CV12" s="467"/>
      <c r="CW12" s="467"/>
      <c r="CX12" s="467"/>
      <c r="CY12" s="467"/>
      <c r="CZ12" s="467"/>
      <c r="DA12" s="467"/>
      <c r="DB12" s="467"/>
      <c r="DC12" s="467"/>
      <c r="DD12" s="467"/>
      <c r="DE12" s="467"/>
      <c r="DF12" s="467"/>
      <c r="DG12" s="467"/>
      <c r="DH12" s="467"/>
      <c r="DI12" s="467"/>
      <c r="DJ12" s="467"/>
      <c r="DK12" s="467"/>
      <c r="DL12" s="467"/>
      <c r="DM12" s="467"/>
      <c r="DN12" s="467"/>
      <c r="DO12" s="467"/>
      <c r="DP12" s="467"/>
      <c r="DQ12" s="467"/>
      <c r="DR12" s="467"/>
      <c r="DS12" s="467"/>
      <c r="DT12" s="467"/>
      <c r="DU12" s="467"/>
      <c r="DV12" s="467"/>
      <c r="DW12" s="467"/>
      <c r="DX12" s="467"/>
      <c r="DY12" s="467"/>
      <c r="DZ12" s="467"/>
      <c r="EA12" s="467"/>
      <c r="EB12" s="467"/>
      <c r="EC12" s="467"/>
      <c r="ED12" s="467"/>
      <c r="EE12" s="467"/>
      <c r="EF12" s="467"/>
      <c r="EG12" s="467"/>
      <c r="EH12" s="467"/>
      <c r="EI12" s="467"/>
      <c r="EJ12" s="467"/>
      <c r="EK12" s="467"/>
      <c r="EL12" s="467"/>
      <c r="EM12" s="467"/>
      <c r="EN12" s="467"/>
      <c r="EO12" s="467"/>
      <c r="EP12" s="467"/>
      <c r="EQ12" s="467"/>
      <c r="ER12" s="467"/>
      <c r="ES12" s="467"/>
      <c r="ET12" s="467"/>
      <c r="EU12" s="467"/>
      <c r="EV12" s="467"/>
      <c r="EW12" s="467"/>
      <c r="EX12" s="467"/>
      <c r="EY12" s="467"/>
      <c r="EZ12" s="467"/>
      <c r="FA12" s="467"/>
      <c r="FB12" s="467"/>
      <c r="FC12" s="467"/>
      <c r="FD12" s="467"/>
      <c r="FE12" s="467"/>
      <c r="FF12" s="467"/>
      <c r="FG12" s="467"/>
      <c r="FH12" s="467"/>
      <c r="FI12" s="467"/>
      <c r="FJ12" s="467"/>
      <c r="FK12" s="467"/>
      <c r="FL12" s="467"/>
      <c r="FM12" s="467"/>
      <c r="FN12" s="467"/>
      <c r="FO12" s="467"/>
      <c r="FP12" s="467"/>
      <c r="FQ12" s="467"/>
      <c r="FR12" s="467"/>
      <c r="FS12" s="467"/>
      <c r="FT12" s="467"/>
      <c r="FU12" s="467"/>
      <c r="FV12" s="467"/>
      <c r="FW12" s="467"/>
      <c r="FX12" s="467"/>
      <c r="FY12" s="467"/>
      <c r="FZ12" s="467"/>
      <c r="GA12" s="467"/>
      <c r="GB12" s="467"/>
      <c r="GC12" s="467"/>
      <c r="GD12" s="467"/>
      <c r="GE12" s="467"/>
      <c r="GF12" s="467"/>
      <c r="GG12" s="467"/>
      <c r="GH12" s="467"/>
      <c r="GI12" s="467"/>
      <c r="GJ12" s="467"/>
      <c r="GK12" s="467"/>
      <c r="GL12" s="467"/>
      <c r="GM12" s="467"/>
      <c r="GN12" s="467"/>
      <c r="GO12" s="467"/>
      <c r="GP12" s="467"/>
      <c r="GQ12" s="467"/>
      <c r="GR12" s="467"/>
      <c r="GS12" s="467"/>
      <c r="GT12" s="467"/>
      <c r="GU12" s="467"/>
      <c r="GV12" s="467"/>
      <c r="GW12" s="467"/>
      <c r="GX12" s="467"/>
      <c r="GY12" s="467"/>
      <c r="GZ12" s="467"/>
      <c r="HA12" s="467"/>
      <c r="HB12" s="467"/>
      <c r="HC12" s="467"/>
      <c r="HD12" s="467"/>
      <c r="HE12" s="467"/>
      <c r="HF12" s="467"/>
      <c r="HG12" s="467"/>
      <c r="HH12" s="467"/>
      <c r="HI12" s="467"/>
      <c r="HJ12" s="467"/>
      <c r="HK12" s="467"/>
      <c r="HL12" s="467"/>
      <c r="HM12" s="467"/>
      <c r="HN12" s="467"/>
      <c r="HO12" s="467"/>
      <c r="HP12" s="467"/>
      <c r="HQ12" s="467"/>
      <c r="HR12" s="467"/>
      <c r="HS12" s="467"/>
      <c r="HT12" s="467"/>
      <c r="HU12" s="467"/>
      <c r="HV12" s="467"/>
      <c r="HW12" s="467"/>
      <c r="HX12" s="467"/>
      <c r="HY12" s="467"/>
      <c r="HZ12" s="467"/>
      <c r="IA12" s="467"/>
      <c r="IB12" s="467"/>
      <c r="IC12" s="467"/>
      <c r="ID12" s="467"/>
      <c r="IE12" s="467"/>
      <c r="IF12" s="467"/>
      <c r="IG12" s="467"/>
      <c r="IH12" s="467"/>
      <c r="II12" s="467"/>
      <c r="IJ12" s="467"/>
      <c r="IK12" s="467"/>
      <c r="IL12" s="467"/>
      <c r="IM12" s="467"/>
      <c r="IN12" s="467"/>
      <c r="IO12" s="467"/>
      <c r="IP12" s="467"/>
      <c r="IQ12" s="467"/>
      <c r="IR12" s="467"/>
      <c r="IS12" s="467"/>
      <c r="IT12" s="467"/>
      <c r="IU12" s="467"/>
      <c r="IV12" s="467"/>
    </row>
    <row r="13" spans="1:256">
      <c r="A13" s="840" t="s">
        <v>574</v>
      </c>
      <c r="B13" s="840"/>
      <c r="C13" s="152"/>
      <c r="D13" s="152"/>
      <c r="E13" s="152"/>
      <c r="F13" s="152"/>
      <c r="G13" s="152"/>
      <c r="H13" s="152"/>
      <c r="I13" s="169"/>
      <c r="J13" s="467"/>
      <c r="K13" s="467"/>
      <c r="L13" s="467"/>
      <c r="M13" s="467"/>
      <c r="N13" s="467"/>
      <c r="O13" s="467"/>
      <c r="P13" s="467"/>
      <c r="Q13" s="467"/>
      <c r="R13" s="467"/>
      <c r="S13" s="467"/>
      <c r="T13" s="467"/>
      <c r="U13" s="467"/>
      <c r="V13" s="467"/>
      <c r="W13" s="467"/>
      <c r="X13" s="467"/>
      <c r="Y13" s="467"/>
      <c r="Z13" s="467"/>
      <c r="AA13" s="467"/>
      <c r="AB13" s="467"/>
      <c r="AC13" s="467"/>
      <c r="AD13" s="467"/>
      <c r="AE13" s="467"/>
      <c r="AF13" s="467"/>
      <c r="AG13" s="467"/>
      <c r="AH13" s="467"/>
      <c r="AI13" s="467"/>
      <c r="AJ13" s="467"/>
      <c r="AK13" s="467"/>
      <c r="AL13" s="467"/>
      <c r="AM13" s="467"/>
      <c r="AN13" s="467"/>
      <c r="AO13" s="467"/>
      <c r="AP13" s="467"/>
      <c r="AQ13" s="467"/>
      <c r="AR13" s="467"/>
      <c r="AS13" s="467"/>
      <c r="AT13" s="467"/>
      <c r="AU13" s="467"/>
      <c r="AV13" s="467"/>
      <c r="AW13" s="467"/>
      <c r="AX13" s="467"/>
      <c r="AY13" s="467"/>
      <c r="AZ13" s="467"/>
      <c r="BA13" s="467"/>
      <c r="BB13" s="467"/>
      <c r="BC13" s="467"/>
      <c r="BD13" s="467"/>
      <c r="BE13" s="467"/>
      <c r="BF13" s="467"/>
      <c r="BG13" s="467"/>
      <c r="BH13" s="467"/>
      <c r="BI13" s="467"/>
      <c r="BJ13" s="467"/>
      <c r="BK13" s="467"/>
      <c r="BL13" s="467"/>
      <c r="BM13" s="467"/>
      <c r="BN13" s="467"/>
      <c r="BO13" s="467"/>
      <c r="BP13" s="467"/>
      <c r="BQ13" s="467"/>
      <c r="BR13" s="467"/>
      <c r="BS13" s="467"/>
      <c r="BT13" s="467"/>
      <c r="BU13" s="467"/>
      <c r="BV13" s="467"/>
      <c r="BW13" s="467"/>
      <c r="BX13" s="467"/>
      <c r="BY13" s="467"/>
      <c r="BZ13" s="467"/>
      <c r="CA13" s="467"/>
      <c r="CB13" s="467"/>
      <c r="CC13" s="467"/>
      <c r="CD13" s="467"/>
      <c r="CE13" s="467"/>
      <c r="CF13" s="467"/>
      <c r="CG13" s="467"/>
      <c r="CH13" s="467"/>
      <c r="CI13" s="467"/>
      <c r="CJ13" s="467"/>
      <c r="CK13" s="467"/>
      <c r="CL13" s="467"/>
      <c r="CM13" s="467"/>
      <c r="CN13" s="467"/>
      <c r="CO13" s="467"/>
      <c r="CP13" s="467"/>
      <c r="CQ13" s="467"/>
      <c r="CR13" s="467"/>
      <c r="CS13" s="467"/>
      <c r="CT13" s="467"/>
      <c r="CU13" s="467"/>
      <c r="CV13" s="467"/>
      <c r="CW13" s="467"/>
      <c r="CX13" s="467"/>
      <c r="CY13" s="467"/>
      <c r="CZ13" s="467"/>
      <c r="DA13" s="467"/>
      <c r="DB13" s="467"/>
      <c r="DC13" s="467"/>
      <c r="DD13" s="467"/>
      <c r="DE13" s="467"/>
      <c r="DF13" s="467"/>
      <c r="DG13" s="467"/>
      <c r="DH13" s="467"/>
      <c r="DI13" s="467"/>
      <c r="DJ13" s="467"/>
      <c r="DK13" s="467"/>
      <c r="DL13" s="467"/>
      <c r="DM13" s="467"/>
      <c r="DN13" s="467"/>
      <c r="DO13" s="467"/>
      <c r="DP13" s="467"/>
      <c r="DQ13" s="467"/>
      <c r="DR13" s="467"/>
      <c r="DS13" s="467"/>
      <c r="DT13" s="467"/>
      <c r="DU13" s="467"/>
      <c r="DV13" s="467"/>
      <c r="DW13" s="467"/>
      <c r="DX13" s="467"/>
      <c r="DY13" s="467"/>
      <c r="DZ13" s="467"/>
      <c r="EA13" s="467"/>
      <c r="EB13" s="467"/>
      <c r="EC13" s="467"/>
      <c r="ED13" s="467"/>
      <c r="EE13" s="467"/>
      <c r="EF13" s="467"/>
      <c r="EG13" s="467"/>
      <c r="EH13" s="467"/>
      <c r="EI13" s="467"/>
      <c r="EJ13" s="467"/>
      <c r="EK13" s="467"/>
      <c r="EL13" s="467"/>
      <c r="EM13" s="467"/>
      <c r="EN13" s="467"/>
      <c r="EO13" s="467"/>
      <c r="EP13" s="467"/>
      <c r="EQ13" s="467"/>
      <c r="ER13" s="467"/>
      <c r="ES13" s="467"/>
      <c r="ET13" s="467"/>
      <c r="EU13" s="467"/>
      <c r="EV13" s="467"/>
      <c r="EW13" s="467"/>
      <c r="EX13" s="467"/>
      <c r="EY13" s="467"/>
      <c r="EZ13" s="467"/>
      <c r="FA13" s="467"/>
      <c r="FB13" s="467"/>
      <c r="FC13" s="467"/>
      <c r="FD13" s="467"/>
      <c r="FE13" s="467"/>
      <c r="FF13" s="467"/>
      <c r="FG13" s="467"/>
      <c r="FH13" s="467"/>
      <c r="FI13" s="467"/>
      <c r="FJ13" s="467"/>
      <c r="FK13" s="467"/>
      <c r="FL13" s="467"/>
      <c r="FM13" s="467"/>
      <c r="FN13" s="467"/>
      <c r="FO13" s="467"/>
      <c r="FP13" s="467"/>
      <c r="FQ13" s="467"/>
      <c r="FR13" s="467"/>
      <c r="FS13" s="467"/>
      <c r="FT13" s="467"/>
      <c r="FU13" s="467"/>
      <c r="FV13" s="467"/>
      <c r="FW13" s="467"/>
      <c r="FX13" s="467"/>
      <c r="FY13" s="467"/>
      <c r="FZ13" s="467"/>
      <c r="GA13" s="467"/>
      <c r="GB13" s="467"/>
      <c r="GC13" s="467"/>
      <c r="GD13" s="467"/>
      <c r="GE13" s="467"/>
      <c r="GF13" s="467"/>
      <c r="GG13" s="467"/>
      <c r="GH13" s="467"/>
      <c r="GI13" s="467"/>
      <c r="GJ13" s="467"/>
      <c r="GK13" s="467"/>
      <c r="GL13" s="467"/>
      <c r="GM13" s="467"/>
      <c r="GN13" s="467"/>
      <c r="GO13" s="467"/>
      <c r="GP13" s="467"/>
      <c r="GQ13" s="467"/>
      <c r="GR13" s="467"/>
      <c r="GS13" s="467"/>
      <c r="GT13" s="467"/>
      <c r="GU13" s="467"/>
      <c r="GV13" s="467"/>
      <c r="GW13" s="467"/>
      <c r="GX13" s="467"/>
      <c r="GY13" s="467"/>
      <c r="GZ13" s="467"/>
      <c r="HA13" s="467"/>
      <c r="HB13" s="467"/>
      <c r="HC13" s="467"/>
      <c r="HD13" s="467"/>
      <c r="HE13" s="467"/>
      <c r="HF13" s="467"/>
      <c r="HG13" s="467"/>
      <c r="HH13" s="467"/>
      <c r="HI13" s="467"/>
      <c r="HJ13" s="467"/>
      <c r="HK13" s="467"/>
      <c r="HL13" s="467"/>
      <c r="HM13" s="467"/>
      <c r="HN13" s="467"/>
      <c r="HO13" s="467"/>
      <c r="HP13" s="467"/>
      <c r="HQ13" s="467"/>
      <c r="HR13" s="467"/>
      <c r="HS13" s="467"/>
      <c r="HT13" s="467"/>
      <c r="HU13" s="467"/>
      <c r="HV13" s="467"/>
      <c r="HW13" s="467"/>
      <c r="HX13" s="467"/>
      <c r="HY13" s="467"/>
      <c r="HZ13" s="467"/>
      <c r="IA13" s="467"/>
      <c r="IB13" s="467"/>
      <c r="IC13" s="467"/>
      <c r="ID13" s="467"/>
      <c r="IE13" s="467"/>
      <c r="IF13" s="467"/>
      <c r="IG13" s="467"/>
      <c r="IH13" s="467"/>
      <c r="II13" s="467"/>
      <c r="IJ13" s="467"/>
      <c r="IK13" s="467"/>
      <c r="IL13" s="467"/>
      <c r="IM13" s="467"/>
      <c r="IN13" s="467"/>
      <c r="IO13" s="467"/>
      <c r="IP13" s="467"/>
      <c r="IQ13" s="467"/>
      <c r="IR13" s="467"/>
      <c r="IS13" s="467"/>
      <c r="IT13" s="467"/>
      <c r="IU13" s="467"/>
      <c r="IV13" s="467"/>
    </row>
    <row r="14" spans="1:256" ht="18" customHeight="1">
      <c r="A14" s="466" t="s">
        <v>575</v>
      </c>
      <c r="B14" s="156" t="s">
        <v>576</v>
      </c>
      <c r="C14" s="170"/>
      <c r="D14" s="152"/>
      <c r="E14" s="170"/>
      <c r="F14" s="152"/>
      <c r="G14" s="170"/>
      <c r="H14" s="152"/>
      <c r="I14" s="169"/>
      <c r="J14" s="467"/>
      <c r="K14" s="467"/>
      <c r="L14" s="467"/>
      <c r="M14" s="467"/>
      <c r="N14" s="467"/>
      <c r="O14" s="467"/>
      <c r="P14" s="467"/>
      <c r="Q14" s="467"/>
      <c r="R14" s="467"/>
      <c r="S14" s="467"/>
      <c r="T14" s="467"/>
      <c r="U14" s="467"/>
      <c r="V14" s="467"/>
      <c r="W14" s="467"/>
      <c r="X14" s="467"/>
      <c r="Y14" s="467"/>
      <c r="Z14" s="467"/>
      <c r="AA14" s="467"/>
      <c r="AB14" s="467"/>
      <c r="AC14" s="467"/>
      <c r="AD14" s="467"/>
      <c r="AE14" s="467"/>
      <c r="AF14" s="467"/>
      <c r="AG14" s="467"/>
      <c r="AH14" s="467"/>
      <c r="AI14" s="467"/>
      <c r="AJ14" s="467"/>
      <c r="AK14" s="467"/>
      <c r="AL14" s="467"/>
      <c r="AM14" s="467"/>
      <c r="AN14" s="467"/>
      <c r="AO14" s="467"/>
      <c r="AP14" s="467"/>
      <c r="AQ14" s="467"/>
      <c r="AR14" s="467"/>
      <c r="AS14" s="467"/>
      <c r="AT14" s="467"/>
      <c r="AU14" s="467"/>
      <c r="AV14" s="467"/>
      <c r="AW14" s="467"/>
      <c r="AX14" s="467"/>
      <c r="AY14" s="467"/>
      <c r="AZ14" s="467"/>
      <c r="BA14" s="467"/>
      <c r="BB14" s="467"/>
      <c r="BC14" s="467"/>
      <c r="BD14" s="467"/>
      <c r="BE14" s="467"/>
      <c r="BF14" s="467"/>
      <c r="BG14" s="467"/>
      <c r="BH14" s="467"/>
      <c r="BI14" s="467"/>
      <c r="BJ14" s="467"/>
      <c r="BK14" s="467"/>
      <c r="BL14" s="467"/>
      <c r="BM14" s="467"/>
      <c r="BN14" s="467"/>
      <c r="BO14" s="467"/>
      <c r="BP14" s="467"/>
      <c r="BQ14" s="467"/>
      <c r="BR14" s="467"/>
      <c r="BS14" s="467"/>
      <c r="BT14" s="467"/>
      <c r="BU14" s="467"/>
      <c r="BV14" s="467"/>
      <c r="BW14" s="467"/>
      <c r="BX14" s="467"/>
      <c r="BY14" s="467"/>
      <c r="BZ14" s="467"/>
      <c r="CA14" s="467"/>
      <c r="CB14" s="467"/>
      <c r="CC14" s="467"/>
      <c r="CD14" s="467"/>
      <c r="CE14" s="467"/>
      <c r="CF14" s="467"/>
      <c r="CG14" s="467"/>
      <c r="CH14" s="467"/>
      <c r="CI14" s="467"/>
      <c r="CJ14" s="467"/>
      <c r="CK14" s="467"/>
      <c r="CL14" s="467"/>
      <c r="CM14" s="467"/>
      <c r="CN14" s="467"/>
      <c r="CO14" s="467"/>
      <c r="CP14" s="467"/>
      <c r="CQ14" s="467"/>
      <c r="CR14" s="467"/>
      <c r="CS14" s="467"/>
      <c r="CT14" s="467"/>
      <c r="CU14" s="467"/>
      <c r="CV14" s="467"/>
      <c r="CW14" s="467"/>
      <c r="CX14" s="467"/>
      <c r="CY14" s="467"/>
      <c r="CZ14" s="467"/>
      <c r="DA14" s="467"/>
      <c r="DB14" s="467"/>
      <c r="DC14" s="467"/>
      <c r="DD14" s="467"/>
      <c r="DE14" s="467"/>
      <c r="DF14" s="467"/>
      <c r="DG14" s="467"/>
      <c r="DH14" s="467"/>
      <c r="DI14" s="467"/>
      <c r="DJ14" s="467"/>
      <c r="DK14" s="467"/>
      <c r="DL14" s="467"/>
      <c r="DM14" s="467"/>
      <c r="DN14" s="467"/>
      <c r="DO14" s="467"/>
      <c r="DP14" s="467"/>
      <c r="DQ14" s="467"/>
      <c r="DR14" s="467"/>
      <c r="DS14" s="467"/>
      <c r="DT14" s="467"/>
      <c r="DU14" s="467"/>
      <c r="DV14" s="467"/>
      <c r="DW14" s="467"/>
      <c r="DX14" s="467"/>
      <c r="DY14" s="467"/>
      <c r="DZ14" s="467"/>
      <c r="EA14" s="467"/>
      <c r="EB14" s="467"/>
      <c r="EC14" s="467"/>
      <c r="ED14" s="467"/>
      <c r="EE14" s="467"/>
      <c r="EF14" s="467"/>
      <c r="EG14" s="467"/>
      <c r="EH14" s="467"/>
      <c r="EI14" s="467"/>
      <c r="EJ14" s="467"/>
      <c r="EK14" s="467"/>
      <c r="EL14" s="467"/>
      <c r="EM14" s="467"/>
      <c r="EN14" s="467"/>
      <c r="EO14" s="467"/>
      <c r="EP14" s="467"/>
      <c r="EQ14" s="467"/>
      <c r="ER14" s="467"/>
      <c r="ES14" s="467"/>
      <c r="ET14" s="467"/>
      <c r="EU14" s="467"/>
      <c r="EV14" s="467"/>
      <c r="EW14" s="467"/>
      <c r="EX14" s="467"/>
      <c r="EY14" s="467"/>
      <c r="EZ14" s="467"/>
      <c r="FA14" s="467"/>
      <c r="FB14" s="467"/>
      <c r="FC14" s="467"/>
      <c r="FD14" s="467"/>
      <c r="FE14" s="467"/>
      <c r="FF14" s="467"/>
      <c r="FG14" s="467"/>
      <c r="FH14" s="467"/>
      <c r="FI14" s="467"/>
      <c r="FJ14" s="467"/>
      <c r="FK14" s="467"/>
      <c r="FL14" s="467"/>
      <c r="FM14" s="467"/>
      <c r="FN14" s="467"/>
      <c r="FO14" s="467"/>
      <c r="FP14" s="467"/>
      <c r="FQ14" s="467"/>
      <c r="FR14" s="467"/>
      <c r="FS14" s="467"/>
      <c r="FT14" s="467"/>
      <c r="FU14" s="467"/>
      <c r="FV14" s="467"/>
      <c r="FW14" s="467"/>
      <c r="FX14" s="467"/>
      <c r="FY14" s="467"/>
      <c r="FZ14" s="467"/>
      <c r="GA14" s="467"/>
      <c r="GB14" s="467"/>
      <c r="GC14" s="467"/>
      <c r="GD14" s="467"/>
      <c r="GE14" s="467"/>
      <c r="GF14" s="467"/>
      <c r="GG14" s="467"/>
      <c r="GH14" s="467"/>
      <c r="GI14" s="467"/>
      <c r="GJ14" s="467"/>
      <c r="GK14" s="467"/>
      <c r="GL14" s="467"/>
      <c r="GM14" s="467"/>
      <c r="GN14" s="467"/>
      <c r="GO14" s="467"/>
      <c r="GP14" s="467"/>
      <c r="GQ14" s="467"/>
      <c r="GR14" s="467"/>
      <c r="GS14" s="467"/>
      <c r="GT14" s="467"/>
      <c r="GU14" s="467"/>
      <c r="GV14" s="467"/>
      <c r="GW14" s="467"/>
      <c r="GX14" s="467"/>
      <c r="GY14" s="467"/>
      <c r="GZ14" s="467"/>
      <c r="HA14" s="467"/>
      <c r="HB14" s="467"/>
      <c r="HC14" s="467"/>
      <c r="HD14" s="467"/>
      <c r="HE14" s="467"/>
      <c r="HF14" s="467"/>
      <c r="HG14" s="467"/>
      <c r="HH14" s="467"/>
      <c r="HI14" s="467"/>
      <c r="HJ14" s="467"/>
      <c r="HK14" s="467"/>
      <c r="HL14" s="467"/>
      <c r="HM14" s="467"/>
      <c r="HN14" s="467"/>
      <c r="HO14" s="467"/>
      <c r="HP14" s="467"/>
      <c r="HQ14" s="467"/>
      <c r="HR14" s="467"/>
      <c r="HS14" s="467"/>
      <c r="HT14" s="467"/>
      <c r="HU14" s="467"/>
      <c r="HV14" s="467"/>
      <c r="HW14" s="467"/>
      <c r="HX14" s="467"/>
      <c r="HY14" s="467"/>
      <c r="HZ14" s="467"/>
      <c r="IA14" s="467"/>
      <c r="IB14" s="467"/>
      <c r="IC14" s="467"/>
      <c r="ID14" s="467"/>
      <c r="IE14" s="467"/>
      <c r="IF14" s="467"/>
      <c r="IG14" s="467"/>
      <c r="IH14" s="467"/>
      <c r="II14" s="467"/>
      <c r="IJ14" s="467"/>
      <c r="IK14" s="467"/>
      <c r="IL14" s="467"/>
      <c r="IM14" s="467"/>
      <c r="IN14" s="467"/>
      <c r="IO14" s="467"/>
      <c r="IP14" s="467"/>
      <c r="IQ14" s="467"/>
      <c r="IR14" s="467"/>
      <c r="IS14" s="467"/>
      <c r="IT14" s="467"/>
      <c r="IU14" s="467"/>
      <c r="IV14" s="467"/>
    </row>
    <row r="15" spans="1:256" ht="18" customHeight="1">
      <c r="A15" s="841" t="s">
        <v>577</v>
      </c>
      <c r="B15" s="842"/>
      <c r="C15" s="171"/>
      <c r="D15" s="152"/>
      <c r="E15" s="171"/>
      <c r="F15" s="152"/>
      <c r="G15" s="171"/>
      <c r="H15" s="152"/>
      <c r="I15" s="168">
        <f>SUM(C15:G15)</f>
        <v>0</v>
      </c>
      <c r="J15" s="467"/>
      <c r="K15" s="467"/>
      <c r="L15" s="467"/>
      <c r="M15" s="467"/>
      <c r="N15" s="467"/>
      <c r="O15" s="467"/>
      <c r="P15" s="467"/>
      <c r="Q15" s="467"/>
      <c r="R15" s="467"/>
      <c r="S15" s="467"/>
      <c r="T15" s="467"/>
      <c r="U15" s="467"/>
      <c r="V15" s="467"/>
      <c r="W15" s="467"/>
      <c r="X15" s="467"/>
      <c r="Y15" s="467"/>
      <c r="Z15" s="467"/>
      <c r="AA15" s="467"/>
      <c r="AB15" s="467"/>
      <c r="AC15" s="467"/>
      <c r="AD15" s="467"/>
      <c r="AE15" s="467"/>
      <c r="AF15" s="467"/>
      <c r="AG15" s="467"/>
      <c r="AH15" s="467"/>
      <c r="AI15" s="467"/>
      <c r="AJ15" s="467"/>
      <c r="AK15" s="467"/>
      <c r="AL15" s="467"/>
      <c r="AM15" s="467"/>
      <c r="AN15" s="467"/>
      <c r="AO15" s="467"/>
      <c r="AP15" s="467"/>
      <c r="AQ15" s="467"/>
      <c r="AR15" s="467"/>
      <c r="AS15" s="467"/>
      <c r="AT15" s="467"/>
      <c r="AU15" s="467"/>
      <c r="AV15" s="467"/>
      <c r="AW15" s="467"/>
      <c r="AX15" s="467"/>
      <c r="AY15" s="467"/>
      <c r="AZ15" s="467"/>
      <c r="BA15" s="467"/>
      <c r="BB15" s="467"/>
      <c r="BC15" s="467"/>
      <c r="BD15" s="467"/>
      <c r="BE15" s="467"/>
      <c r="BF15" s="467"/>
      <c r="BG15" s="467"/>
      <c r="BH15" s="467"/>
      <c r="BI15" s="467"/>
      <c r="BJ15" s="467"/>
      <c r="BK15" s="467"/>
      <c r="BL15" s="467"/>
      <c r="BM15" s="467"/>
      <c r="BN15" s="467"/>
      <c r="BO15" s="467"/>
      <c r="BP15" s="467"/>
      <c r="BQ15" s="467"/>
      <c r="BR15" s="467"/>
      <c r="BS15" s="467"/>
      <c r="BT15" s="467"/>
      <c r="BU15" s="467"/>
      <c r="BV15" s="467"/>
      <c r="BW15" s="467"/>
      <c r="BX15" s="467"/>
      <c r="BY15" s="467"/>
      <c r="BZ15" s="467"/>
      <c r="CA15" s="467"/>
      <c r="CB15" s="467"/>
      <c r="CC15" s="467"/>
      <c r="CD15" s="467"/>
      <c r="CE15" s="467"/>
      <c r="CF15" s="467"/>
      <c r="CG15" s="467"/>
      <c r="CH15" s="467"/>
      <c r="CI15" s="467"/>
      <c r="CJ15" s="467"/>
      <c r="CK15" s="467"/>
      <c r="CL15" s="467"/>
      <c r="CM15" s="467"/>
      <c r="CN15" s="467"/>
      <c r="CO15" s="467"/>
      <c r="CP15" s="467"/>
      <c r="CQ15" s="467"/>
      <c r="CR15" s="467"/>
      <c r="CS15" s="467"/>
      <c r="CT15" s="467"/>
      <c r="CU15" s="467"/>
      <c r="CV15" s="467"/>
      <c r="CW15" s="467"/>
      <c r="CX15" s="467"/>
      <c r="CY15" s="467"/>
      <c r="CZ15" s="467"/>
      <c r="DA15" s="467"/>
      <c r="DB15" s="467"/>
      <c r="DC15" s="467"/>
      <c r="DD15" s="467"/>
      <c r="DE15" s="467"/>
      <c r="DF15" s="467"/>
      <c r="DG15" s="467"/>
      <c r="DH15" s="467"/>
      <c r="DI15" s="467"/>
      <c r="DJ15" s="467"/>
      <c r="DK15" s="467"/>
      <c r="DL15" s="467"/>
      <c r="DM15" s="467"/>
      <c r="DN15" s="467"/>
      <c r="DO15" s="467"/>
      <c r="DP15" s="467"/>
      <c r="DQ15" s="467"/>
      <c r="DR15" s="467"/>
      <c r="DS15" s="467"/>
      <c r="DT15" s="467"/>
      <c r="DU15" s="467"/>
      <c r="DV15" s="467"/>
      <c r="DW15" s="467"/>
      <c r="DX15" s="467"/>
      <c r="DY15" s="467"/>
      <c r="DZ15" s="467"/>
      <c r="EA15" s="467"/>
      <c r="EB15" s="467"/>
      <c r="EC15" s="467"/>
      <c r="ED15" s="467"/>
      <c r="EE15" s="467"/>
      <c r="EF15" s="467"/>
      <c r="EG15" s="467"/>
      <c r="EH15" s="467"/>
      <c r="EI15" s="467"/>
      <c r="EJ15" s="467"/>
      <c r="EK15" s="467"/>
      <c r="EL15" s="467"/>
      <c r="EM15" s="467"/>
      <c r="EN15" s="467"/>
      <c r="EO15" s="467"/>
      <c r="EP15" s="467"/>
      <c r="EQ15" s="467"/>
      <c r="ER15" s="467"/>
      <c r="ES15" s="467"/>
      <c r="ET15" s="467"/>
      <c r="EU15" s="467"/>
      <c r="EV15" s="467"/>
      <c r="EW15" s="467"/>
      <c r="EX15" s="467"/>
      <c r="EY15" s="467"/>
      <c r="EZ15" s="467"/>
      <c r="FA15" s="467"/>
      <c r="FB15" s="467"/>
      <c r="FC15" s="467"/>
      <c r="FD15" s="467"/>
      <c r="FE15" s="467"/>
      <c r="FF15" s="467"/>
      <c r="FG15" s="467"/>
      <c r="FH15" s="467"/>
      <c r="FI15" s="467"/>
      <c r="FJ15" s="467"/>
      <c r="FK15" s="467"/>
      <c r="FL15" s="467"/>
      <c r="FM15" s="467"/>
      <c r="FN15" s="467"/>
      <c r="FO15" s="467"/>
      <c r="FP15" s="467"/>
      <c r="FQ15" s="467"/>
      <c r="FR15" s="467"/>
      <c r="FS15" s="467"/>
      <c r="FT15" s="467"/>
      <c r="FU15" s="467"/>
      <c r="FV15" s="467"/>
      <c r="FW15" s="467"/>
      <c r="FX15" s="467"/>
      <c r="FY15" s="467"/>
      <c r="FZ15" s="467"/>
      <c r="GA15" s="467"/>
      <c r="GB15" s="467"/>
      <c r="GC15" s="467"/>
      <c r="GD15" s="467"/>
      <c r="GE15" s="467"/>
      <c r="GF15" s="467"/>
      <c r="GG15" s="467"/>
      <c r="GH15" s="467"/>
      <c r="GI15" s="467"/>
      <c r="GJ15" s="467"/>
      <c r="GK15" s="467"/>
      <c r="GL15" s="467"/>
      <c r="GM15" s="467"/>
      <c r="GN15" s="467"/>
      <c r="GO15" s="467"/>
      <c r="GP15" s="467"/>
      <c r="GQ15" s="467"/>
      <c r="GR15" s="467"/>
      <c r="GS15" s="467"/>
      <c r="GT15" s="467"/>
      <c r="GU15" s="467"/>
      <c r="GV15" s="467"/>
      <c r="GW15" s="467"/>
      <c r="GX15" s="467"/>
      <c r="GY15" s="467"/>
      <c r="GZ15" s="467"/>
      <c r="HA15" s="467"/>
      <c r="HB15" s="467"/>
      <c r="HC15" s="467"/>
      <c r="HD15" s="467"/>
      <c r="HE15" s="467"/>
      <c r="HF15" s="467"/>
      <c r="HG15" s="467"/>
      <c r="HH15" s="467"/>
      <c r="HI15" s="467"/>
      <c r="HJ15" s="467"/>
      <c r="HK15" s="467"/>
      <c r="HL15" s="467"/>
      <c r="HM15" s="467"/>
      <c r="HN15" s="467"/>
      <c r="HO15" s="467"/>
      <c r="HP15" s="467"/>
      <c r="HQ15" s="467"/>
      <c r="HR15" s="467"/>
      <c r="HS15" s="467"/>
      <c r="HT15" s="467"/>
      <c r="HU15" s="467"/>
      <c r="HV15" s="467"/>
      <c r="HW15" s="467"/>
      <c r="HX15" s="467"/>
      <c r="HY15" s="467"/>
      <c r="HZ15" s="467"/>
      <c r="IA15" s="467"/>
      <c r="IB15" s="467"/>
      <c r="IC15" s="467"/>
      <c r="ID15" s="467"/>
      <c r="IE15" s="467"/>
      <c r="IF15" s="467"/>
      <c r="IG15" s="467"/>
      <c r="IH15" s="467"/>
      <c r="II15" s="467"/>
      <c r="IJ15" s="467"/>
      <c r="IK15" s="467"/>
      <c r="IL15" s="467"/>
      <c r="IM15" s="467"/>
      <c r="IN15" s="467"/>
      <c r="IO15" s="467"/>
      <c r="IP15" s="467"/>
      <c r="IQ15" s="467"/>
      <c r="IR15" s="467"/>
      <c r="IS15" s="467"/>
      <c r="IT15" s="467"/>
      <c r="IU15" s="467"/>
      <c r="IV15" s="467"/>
    </row>
    <row r="16" spans="1:256" ht="18" customHeight="1">
      <c r="A16" s="841" t="s">
        <v>578</v>
      </c>
      <c r="B16" s="842"/>
      <c r="C16" s="838"/>
      <c r="D16" s="152"/>
      <c r="E16" s="838"/>
      <c r="F16" s="152"/>
      <c r="G16" s="838"/>
      <c r="H16" s="152"/>
      <c r="I16" s="168">
        <f>SUM(C16:G16)</f>
        <v>0</v>
      </c>
      <c r="J16" s="467"/>
      <c r="K16" s="467"/>
      <c r="L16" s="467"/>
      <c r="M16" s="467"/>
      <c r="N16" s="467"/>
      <c r="O16" s="467"/>
      <c r="P16" s="467"/>
      <c r="Q16" s="467"/>
      <c r="R16" s="467"/>
      <c r="S16" s="467"/>
      <c r="T16" s="467"/>
      <c r="U16" s="467"/>
      <c r="V16" s="467"/>
      <c r="W16" s="467"/>
      <c r="X16" s="467"/>
      <c r="Y16" s="467"/>
      <c r="Z16" s="467"/>
      <c r="AA16" s="467"/>
      <c r="AB16" s="467"/>
      <c r="AC16" s="467"/>
      <c r="AD16" s="467"/>
      <c r="AE16" s="467"/>
      <c r="AF16" s="467"/>
      <c r="AG16" s="467"/>
      <c r="AH16" s="467"/>
      <c r="AI16" s="467"/>
      <c r="AJ16" s="467"/>
      <c r="AK16" s="467"/>
      <c r="AL16" s="467"/>
      <c r="AM16" s="467"/>
      <c r="AN16" s="467"/>
      <c r="AO16" s="467"/>
      <c r="AP16" s="467"/>
      <c r="AQ16" s="467"/>
      <c r="AR16" s="467"/>
      <c r="AS16" s="467"/>
      <c r="AT16" s="467"/>
      <c r="AU16" s="467"/>
      <c r="AV16" s="467"/>
      <c r="AW16" s="467"/>
      <c r="AX16" s="467"/>
      <c r="AY16" s="467"/>
      <c r="AZ16" s="467"/>
      <c r="BA16" s="467"/>
      <c r="BB16" s="467"/>
      <c r="BC16" s="467"/>
      <c r="BD16" s="467"/>
      <c r="BE16" s="467"/>
      <c r="BF16" s="467"/>
      <c r="BG16" s="467"/>
      <c r="BH16" s="467"/>
      <c r="BI16" s="467"/>
      <c r="BJ16" s="467"/>
      <c r="BK16" s="467"/>
      <c r="BL16" s="467"/>
      <c r="BM16" s="467"/>
      <c r="BN16" s="467"/>
      <c r="BO16" s="467"/>
      <c r="BP16" s="467"/>
      <c r="BQ16" s="467"/>
      <c r="BR16" s="467"/>
      <c r="BS16" s="467"/>
      <c r="BT16" s="467"/>
      <c r="BU16" s="467"/>
      <c r="BV16" s="467"/>
      <c r="BW16" s="467"/>
      <c r="BX16" s="467"/>
      <c r="BY16" s="467"/>
      <c r="BZ16" s="467"/>
      <c r="CA16" s="467"/>
      <c r="CB16" s="467"/>
      <c r="CC16" s="467"/>
      <c r="CD16" s="467"/>
      <c r="CE16" s="467"/>
      <c r="CF16" s="467"/>
      <c r="CG16" s="467"/>
      <c r="CH16" s="467"/>
      <c r="CI16" s="467"/>
      <c r="CJ16" s="467"/>
      <c r="CK16" s="467"/>
      <c r="CL16" s="467"/>
      <c r="CM16" s="467"/>
      <c r="CN16" s="467"/>
      <c r="CO16" s="467"/>
      <c r="CP16" s="467"/>
      <c r="CQ16" s="467"/>
      <c r="CR16" s="467"/>
      <c r="CS16" s="467"/>
      <c r="CT16" s="467"/>
      <c r="CU16" s="467"/>
      <c r="CV16" s="467"/>
      <c r="CW16" s="467"/>
      <c r="CX16" s="467"/>
      <c r="CY16" s="467"/>
      <c r="CZ16" s="467"/>
      <c r="DA16" s="467"/>
      <c r="DB16" s="467"/>
      <c r="DC16" s="467"/>
      <c r="DD16" s="467"/>
      <c r="DE16" s="467"/>
      <c r="DF16" s="467"/>
      <c r="DG16" s="467"/>
      <c r="DH16" s="467"/>
      <c r="DI16" s="467"/>
      <c r="DJ16" s="467"/>
      <c r="DK16" s="467"/>
      <c r="DL16" s="467"/>
      <c r="DM16" s="467"/>
      <c r="DN16" s="467"/>
      <c r="DO16" s="467"/>
      <c r="DP16" s="467"/>
      <c r="DQ16" s="467"/>
      <c r="DR16" s="467"/>
      <c r="DS16" s="467"/>
      <c r="DT16" s="467"/>
      <c r="DU16" s="467"/>
      <c r="DV16" s="467"/>
      <c r="DW16" s="467"/>
      <c r="DX16" s="467"/>
      <c r="DY16" s="467"/>
      <c r="DZ16" s="467"/>
      <c r="EA16" s="467"/>
      <c r="EB16" s="467"/>
      <c r="EC16" s="467"/>
      <c r="ED16" s="467"/>
      <c r="EE16" s="467"/>
      <c r="EF16" s="467"/>
      <c r="EG16" s="467"/>
      <c r="EH16" s="467"/>
      <c r="EI16" s="467"/>
      <c r="EJ16" s="467"/>
      <c r="EK16" s="467"/>
      <c r="EL16" s="467"/>
      <c r="EM16" s="467"/>
      <c r="EN16" s="467"/>
      <c r="EO16" s="467"/>
      <c r="EP16" s="467"/>
      <c r="EQ16" s="467"/>
      <c r="ER16" s="467"/>
      <c r="ES16" s="467"/>
      <c r="ET16" s="467"/>
      <c r="EU16" s="467"/>
      <c r="EV16" s="467"/>
      <c r="EW16" s="467"/>
      <c r="EX16" s="467"/>
      <c r="EY16" s="467"/>
      <c r="EZ16" s="467"/>
      <c r="FA16" s="467"/>
      <c r="FB16" s="467"/>
      <c r="FC16" s="467"/>
      <c r="FD16" s="467"/>
      <c r="FE16" s="467"/>
      <c r="FF16" s="467"/>
      <c r="FG16" s="467"/>
      <c r="FH16" s="467"/>
      <c r="FI16" s="467"/>
      <c r="FJ16" s="467"/>
      <c r="FK16" s="467"/>
      <c r="FL16" s="467"/>
      <c r="FM16" s="467"/>
      <c r="FN16" s="467"/>
      <c r="FO16" s="467"/>
      <c r="FP16" s="467"/>
      <c r="FQ16" s="467"/>
      <c r="FR16" s="467"/>
      <c r="FS16" s="467"/>
      <c r="FT16" s="467"/>
      <c r="FU16" s="467"/>
      <c r="FV16" s="467"/>
      <c r="FW16" s="467"/>
      <c r="FX16" s="467"/>
      <c r="FY16" s="467"/>
      <c r="FZ16" s="467"/>
      <c r="GA16" s="467"/>
      <c r="GB16" s="467"/>
      <c r="GC16" s="467"/>
      <c r="GD16" s="467"/>
      <c r="GE16" s="467"/>
      <c r="GF16" s="467"/>
      <c r="GG16" s="467"/>
      <c r="GH16" s="467"/>
      <c r="GI16" s="467"/>
      <c r="GJ16" s="467"/>
      <c r="GK16" s="467"/>
      <c r="GL16" s="467"/>
      <c r="GM16" s="467"/>
      <c r="GN16" s="467"/>
      <c r="GO16" s="467"/>
      <c r="GP16" s="467"/>
      <c r="GQ16" s="467"/>
      <c r="GR16" s="467"/>
      <c r="GS16" s="467"/>
      <c r="GT16" s="467"/>
      <c r="GU16" s="467"/>
      <c r="GV16" s="467"/>
      <c r="GW16" s="467"/>
      <c r="GX16" s="467"/>
      <c r="GY16" s="467"/>
      <c r="GZ16" s="467"/>
      <c r="HA16" s="467"/>
      <c r="HB16" s="467"/>
      <c r="HC16" s="467"/>
      <c r="HD16" s="467"/>
      <c r="HE16" s="467"/>
      <c r="HF16" s="467"/>
      <c r="HG16" s="467"/>
      <c r="HH16" s="467"/>
      <c r="HI16" s="467"/>
      <c r="HJ16" s="467"/>
      <c r="HK16" s="467"/>
      <c r="HL16" s="467"/>
      <c r="HM16" s="467"/>
      <c r="HN16" s="467"/>
      <c r="HO16" s="467"/>
      <c r="HP16" s="467"/>
      <c r="HQ16" s="467"/>
      <c r="HR16" s="467"/>
      <c r="HS16" s="467"/>
      <c r="HT16" s="467"/>
      <c r="HU16" s="467"/>
      <c r="HV16" s="467"/>
      <c r="HW16" s="467"/>
      <c r="HX16" s="467"/>
      <c r="HY16" s="467"/>
      <c r="HZ16" s="467"/>
      <c r="IA16" s="467"/>
      <c r="IB16" s="467"/>
      <c r="IC16" s="467"/>
      <c r="ID16" s="467"/>
      <c r="IE16" s="467"/>
      <c r="IF16" s="467"/>
      <c r="IG16" s="467"/>
      <c r="IH16" s="467"/>
      <c r="II16" s="467"/>
      <c r="IJ16" s="467"/>
      <c r="IK16" s="467"/>
      <c r="IL16" s="467"/>
      <c r="IM16" s="467"/>
      <c r="IN16" s="467"/>
      <c r="IO16" s="467"/>
      <c r="IP16" s="467"/>
      <c r="IQ16" s="467"/>
      <c r="IR16" s="467"/>
      <c r="IS16" s="467"/>
      <c r="IT16" s="467"/>
      <c r="IU16" s="467"/>
      <c r="IV16" s="467"/>
    </row>
    <row r="17" spans="1:9" ht="18" customHeight="1">
      <c r="A17" s="841" t="s">
        <v>578</v>
      </c>
      <c r="B17" s="842"/>
      <c r="C17" s="838"/>
      <c r="D17" s="152"/>
      <c r="E17" s="838"/>
      <c r="F17" s="152"/>
      <c r="G17" s="838"/>
      <c r="H17" s="152"/>
      <c r="I17" s="168">
        <f>SUM(C17:G17)</f>
        <v>0</v>
      </c>
    </row>
    <row r="18" spans="1:9" ht="18" customHeight="1">
      <c r="A18" s="841" t="s">
        <v>578</v>
      </c>
      <c r="B18" s="842"/>
      <c r="C18" s="838"/>
      <c r="D18" s="152"/>
      <c r="E18" s="838"/>
      <c r="F18" s="152"/>
      <c r="G18" s="838"/>
      <c r="H18" s="152"/>
      <c r="I18" s="168">
        <f>SUM(C18:G18)</f>
        <v>0</v>
      </c>
    </row>
    <row r="19" spans="1:9" ht="18" customHeight="1">
      <c r="A19" s="841" t="s">
        <v>578</v>
      </c>
      <c r="B19" s="842"/>
      <c r="C19" s="838"/>
      <c r="D19" s="152"/>
      <c r="E19" s="838"/>
      <c r="F19" s="152"/>
      <c r="G19" s="838"/>
      <c r="H19" s="152"/>
      <c r="I19" s="168">
        <f>SUM(C19:G19)</f>
        <v>0</v>
      </c>
    </row>
    <row r="20" spans="1:9" ht="18" customHeight="1">
      <c r="A20" s="843" t="s">
        <v>579</v>
      </c>
      <c r="B20" s="843"/>
      <c r="C20" s="839">
        <f>SUM(C15:C19)</f>
        <v>0</v>
      </c>
      <c r="D20" s="839"/>
      <c r="E20" s="839">
        <f>SUM(E15:E19)</f>
        <v>0</v>
      </c>
      <c r="F20" s="839"/>
      <c r="G20" s="839">
        <f>SUM(G15:G19)</f>
        <v>0</v>
      </c>
      <c r="H20" s="839"/>
      <c r="I20" s="839">
        <f>SUM(I15:I19)</f>
        <v>0</v>
      </c>
    </row>
    <row r="21" spans="1:9" ht="18" customHeight="1">
      <c r="A21" s="843"/>
      <c r="B21" s="843"/>
      <c r="C21" s="467"/>
      <c r="D21" s="467"/>
      <c r="E21" s="467"/>
      <c r="F21" s="467"/>
      <c r="G21" s="467"/>
      <c r="H21" s="467"/>
      <c r="I21" s="467"/>
    </row>
    <row r="22" spans="1:9" ht="18" customHeight="1">
      <c r="A22" s="466" t="s">
        <v>580</v>
      </c>
      <c r="B22" s="156" t="s">
        <v>576</v>
      </c>
      <c r="C22" s="467"/>
      <c r="D22" s="467"/>
      <c r="E22" s="467"/>
      <c r="F22" s="467"/>
      <c r="G22" s="467"/>
      <c r="H22" s="467"/>
      <c r="I22" s="467"/>
    </row>
    <row r="23" spans="1:9" ht="18" customHeight="1">
      <c r="A23" s="841" t="s">
        <v>581</v>
      </c>
      <c r="B23" s="842"/>
      <c r="C23" s="171"/>
      <c r="D23" s="152"/>
      <c r="E23" s="171"/>
      <c r="F23" s="152"/>
      <c r="G23" s="171"/>
      <c r="H23" s="467"/>
      <c r="I23" s="168">
        <f t="shared" ref="I23:I28" si="0">SUM(C23:G23)</f>
        <v>0</v>
      </c>
    </row>
    <row r="24" spans="1:9" ht="18" customHeight="1">
      <c r="A24" s="841" t="s">
        <v>582</v>
      </c>
      <c r="B24" s="842"/>
      <c r="C24" s="171"/>
      <c r="D24" s="152"/>
      <c r="E24" s="171"/>
      <c r="F24" s="152"/>
      <c r="G24" s="171"/>
      <c r="H24" s="152"/>
      <c r="I24" s="168">
        <f t="shared" si="0"/>
        <v>0</v>
      </c>
    </row>
    <row r="25" spans="1:9" ht="18" customHeight="1">
      <c r="A25" s="841" t="s">
        <v>582</v>
      </c>
      <c r="B25" s="842"/>
      <c r="C25" s="171"/>
      <c r="D25" s="152"/>
      <c r="E25" s="171"/>
      <c r="F25" s="152"/>
      <c r="G25" s="171"/>
      <c r="H25" s="152"/>
      <c r="I25" s="168">
        <f t="shared" si="0"/>
        <v>0</v>
      </c>
    </row>
    <row r="26" spans="1:9" ht="18" customHeight="1">
      <c r="A26" s="841" t="s">
        <v>578</v>
      </c>
      <c r="B26" s="842"/>
      <c r="C26" s="171"/>
      <c r="D26" s="152"/>
      <c r="E26" s="171"/>
      <c r="F26" s="152"/>
      <c r="G26" s="171"/>
      <c r="H26" s="152"/>
      <c r="I26" s="168">
        <f t="shared" si="0"/>
        <v>0</v>
      </c>
    </row>
    <row r="27" spans="1:9" ht="18" customHeight="1">
      <c r="A27" s="841" t="s">
        <v>578</v>
      </c>
      <c r="B27" s="842"/>
      <c r="C27" s="171"/>
      <c r="D27" s="152"/>
      <c r="E27" s="171"/>
      <c r="F27" s="152"/>
      <c r="G27" s="171"/>
      <c r="H27" s="152"/>
      <c r="I27" s="168">
        <f t="shared" si="0"/>
        <v>0</v>
      </c>
    </row>
    <row r="28" spans="1:9" ht="18" customHeight="1">
      <c r="A28" s="843" t="s">
        <v>583</v>
      </c>
      <c r="B28" s="843"/>
      <c r="C28" s="839">
        <f>SUM(C23:C27)</f>
        <v>0</v>
      </c>
      <c r="D28" s="839"/>
      <c r="E28" s="839">
        <f>SUM(E23:E27)</f>
        <v>0</v>
      </c>
      <c r="F28" s="839"/>
      <c r="G28" s="839">
        <f>SUM(G23:G27)</f>
        <v>0</v>
      </c>
      <c r="H28" s="152"/>
      <c r="I28" s="168">
        <f t="shared" si="0"/>
        <v>0</v>
      </c>
    </row>
    <row r="29" spans="1:9" ht="18" customHeight="1">
      <c r="A29" s="843"/>
      <c r="B29" s="843"/>
      <c r="C29" s="152"/>
      <c r="D29" s="152"/>
      <c r="E29" s="152"/>
      <c r="F29" s="152"/>
      <c r="G29" s="152"/>
      <c r="H29" s="152"/>
      <c r="I29" s="152"/>
    </row>
    <row r="30" spans="1:9" ht="18" customHeight="1">
      <c r="A30" s="843" t="s">
        <v>584</v>
      </c>
      <c r="B30" s="843"/>
      <c r="C30" s="172">
        <f>C20+C28</f>
        <v>0</v>
      </c>
      <c r="D30" s="169"/>
      <c r="E30" s="172">
        <f>E20+E28</f>
        <v>0</v>
      </c>
      <c r="F30" s="169"/>
      <c r="G30" s="172">
        <f>G20+G28</f>
        <v>0</v>
      </c>
      <c r="H30" s="466"/>
      <c r="I30" s="168">
        <f>I20+I28</f>
        <v>0</v>
      </c>
    </row>
    <row r="31" spans="1:9" ht="18" customHeight="1">
      <c r="A31" s="837"/>
      <c r="B31" s="837"/>
      <c r="C31" s="152"/>
      <c r="D31" s="152"/>
      <c r="E31" s="152"/>
      <c r="F31" s="152"/>
      <c r="G31" s="152"/>
      <c r="H31" s="152"/>
      <c r="I31" s="152"/>
    </row>
    <row r="32" spans="1:9" ht="18" customHeight="1">
      <c r="A32" s="840" t="s">
        <v>585</v>
      </c>
      <c r="B32" s="840"/>
      <c r="C32" s="152"/>
      <c r="D32" s="152"/>
      <c r="E32" s="152"/>
      <c r="F32" s="152"/>
      <c r="G32" s="152"/>
      <c r="H32" s="152"/>
      <c r="I32" s="152"/>
    </row>
    <row r="33" spans="1:9" ht="18" customHeight="1">
      <c r="A33" s="843" t="s">
        <v>586</v>
      </c>
      <c r="B33" s="843"/>
      <c r="C33" s="171"/>
      <c r="D33" s="152"/>
      <c r="E33" s="171"/>
      <c r="F33" s="152"/>
      <c r="G33" s="171"/>
      <c r="H33" s="152"/>
      <c r="I33" s="168">
        <f>SUM(C33:G33)</f>
        <v>0</v>
      </c>
    </row>
    <row r="34" spans="1:9" ht="18" customHeight="1">
      <c r="A34" s="466" t="s">
        <v>575</v>
      </c>
      <c r="B34" s="156" t="s">
        <v>576</v>
      </c>
      <c r="C34" s="170"/>
      <c r="D34" s="152"/>
      <c r="E34" s="170"/>
      <c r="F34" s="152"/>
      <c r="G34" s="170"/>
      <c r="H34" s="152"/>
      <c r="I34" s="169"/>
    </row>
    <row r="35" spans="1:9" ht="18" customHeight="1">
      <c r="A35" s="841" t="s">
        <v>577</v>
      </c>
      <c r="B35" s="842"/>
      <c r="C35" s="171"/>
      <c r="D35" s="152"/>
      <c r="E35" s="171"/>
      <c r="F35" s="152"/>
      <c r="G35" s="171"/>
      <c r="H35" s="152"/>
      <c r="I35" s="168">
        <f>SUM(C35:G35)</f>
        <v>0</v>
      </c>
    </row>
    <row r="36" spans="1:9" ht="18" customHeight="1">
      <c r="A36" s="841" t="s">
        <v>578</v>
      </c>
      <c r="B36" s="842"/>
      <c r="C36" s="838"/>
      <c r="D36" s="152"/>
      <c r="E36" s="838"/>
      <c r="F36" s="152"/>
      <c r="G36" s="838"/>
      <c r="H36" s="152"/>
      <c r="I36" s="168">
        <f>SUM(C36:G36)</f>
        <v>0</v>
      </c>
    </row>
    <row r="37" spans="1:9" ht="18" customHeight="1">
      <c r="A37" s="841" t="s">
        <v>578</v>
      </c>
      <c r="B37" s="842"/>
      <c r="C37" s="838"/>
      <c r="D37" s="152"/>
      <c r="E37" s="838"/>
      <c r="F37" s="152"/>
      <c r="G37" s="838"/>
      <c r="H37" s="152"/>
      <c r="I37" s="168">
        <f>SUM(C37:G37)</f>
        <v>0</v>
      </c>
    </row>
    <row r="38" spans="1:9" ht="18" customHeight="1">
      <c r="A38" s="841" t="s">
        <v>578</v>
      </c>
      <c r="B38" s="842"/>
      <c r="C38" s="838"/>
      <c r="D38" s="152"/>
      <c r="E38" s="838"/>
      <c r="F38" s="152"/>
      <c r="G38" s="838"/>
      <c r="H38" s="152"/>
      <c r="I38" s="168">
        <f>SUM(C38:G38)</f>
        <v>0</v>
      </c>
    </row>
    <row r="39" spans="1:9" ht="18" customHeight="1">
      <c r="A39" s="841" t="s">
        <v>578</v>
      </c>
      <c r="B39" s="842"/>
      <c r="C39" s="838"/>
      <c r="D39" s="152"/>
      <c r="E39" s="838"/>
      <c r="F39" s="152"/>
      <c r="G39" s="838"/>
      <c r="H39" s="152"/>
      <c r="I39" s="168">
        <f>SUM(C39:G39)</f>
        <v>0</v>
      </c>
    </row>
    <row r="40" spans="1:9" ht="18" customHeight="1">
      <c r="A40" s="843" t="s">
        <v>579</v>
      </c>
      <c r="B40" s="843"/>
      <c r="C40" s="839">
        <f>SUM(C33:C39)</f>
        <v>0</v>
      </c>
      <c r="D40" s="169"/>
      <c r="E40" s="839">
        <f>SUM(E33:E39)</f>
        <v>0</v>
      </c>
      <c r="F40" s="169"/>
      <c r="G40" s="839">
        <f>SUM(G33:G39)</f>
        <v>0</v>
      </c>
      <c r="H40" s="169"/>
      <c r="I40" s="839">
        <f>SUM(I33:I39)</f>
        <v>0</v>
      </c>
    </row>
    <row r="41" spans="1:9" ht="18" customHeight="1">
      <c r="A41" s="843"/>
      <c r="B41" s="843"/>
      <c r="C41" s="467"/>
      <c r="D41" s="467"/>
      <c r="E41" s="467"/>
      <c r="F41" s="467"/>
      <c r="G41" s="467"/>
      <c r="H41" s="467"/>
      <c r="I41" s="467"/>
    </row>
    <row r="42" spans="1:9" ht="18" customHeight="1">
      <c r="A42" s="466" t="s">
        <v>580</v>
      </c>
      <c r="B42" s="156" t="s">
        <v>576</v>
      </c>
      <c r="C42" s="467"/>
      <c r="D42" s="467"/>
      <c r="E42" s="467"/>
      <c r="F42" s="467"/>
      <c r="G42" s="467"/>
      <c r="H42" s="467"/>
      <c r="I42" s="467"/>
    </row>
    <row r="43" spans="1:9" ht="18" customHeight="1">
      <c r="A43" s="841" t="s">
        <v>587</v>
      </c>
      <c r="B43" s="842"/>
      <c r="C43" s="171"/>
      <c r="D43" s="152"/>
      <c r="E43" s="171"/>
      <c r="F43" s="152"/>
      <c r="G43" s="171"/>
      <c r="H43" s="467"/>
      <c r="I43" s="172">
        <f t="shared" ref="I43:I48" si="1">SUM(C43:G43)</f>
        <v>0</v>
      </c>
    </row>
    <row r="44" spans="1:9" ht="18" customHeight="1">
      <c r="A44" s="841" t="s">
        <v>588</v>
      </c>
      <c r="B44" s="842"/>
      <c r="C44" s="171"/>
      <c r="D44" s="152"/>
      <c r="E44" s="171"/>
      <c r="F44" s="152"/>
      <c r="G44" s="171"/>
      <c r="H44" s="467"/>
      <c r="I44" s="172">
        <f t="shared" si="1"/>
        <v>0</v>
      </c>
    </row>
    <row r="45" spans="1:9" ht="18" customHeight="1">
      <c r="A45" s="841" t="s">
        <v>582</v>
      </c>
      <c r="B45" s="842"/>
      <c r="C45" s="171"/>
      <c r="D45" s="152"/>
      <c r="E45" s="171"/>
      <c r="F45" s="152"/>
      <c r="G45" s="171"/>
      <c r="H45" s="173"/>
      <c r="I45" s="172">
        <f t="shared" si="1"/>
        <v>0</v>
      </c>
    </row>
    <row r="46" spans="1:9" ht="18" customHeight="1">
      <c r="A46" s="841" t="s">
        <v>578</v>
      </c>
      <c r="B46" s="842"/>
      <c r="C46" s="171"/>
      <c r="D46" s="152"/>
      <c r="E46" s="171"/>
      <c r="F46" s="152"/>
      <c r="G46" s="171"/>
      <c r="H46" s="173"/>
      <c r="I46" s="172">
        <f t="shared" si="1"/>
        <v>0</v>
      </c>
    </row>
    <row r="47" spans="1:9" ht="18" customHeight="1">
      <c r="A47" s="841" t="s">
        <v>578</v>
      </c>
      <c r="B47" s="842"/>
      <c r="C47" s="171"/>
      <c r="D47" s="152"/>
      <c r="E47" s="171"/>
      <c r="F47" s="152"/>
      <c r="G47" s="171"/>
      <c r="H47" s="467"/>
      <c r="I47" s="172">
        <f t="shared" si="1"/>
        <v>0</v>
      </c>
    </row>
    <row r="48" spans="1:9" ht="18" customHeight="1">
      <c r="A48" s="497" t="s">
        <v>583</v>
      </c>
      <c r="B48" s="497"/>
      <c r="C48" s="172">
        <f>SUM(C43:C47)</f>
        <v>0</v>
      </c>
      <c r="D48" s="169"/>
      <c r="E48" s="172">
        <f>SUM(E43:E47)</f>
        <v>0</v>
      </c>
      <c r="F48" s="169"/>
      <c r="G48" s="172">
        <f>SUM(G43:G47)</f>
        <v>0</v>
      </c>
      <c r="H48" s="466"/>
      <c r="I48" s="172">
        <f t="shared" si="1"/>
        <v>0</v>
      </c>
    </row>
    <row r="49" spans="1:9" ht="18" customHeight="1">
      <c r="A49" s="174"/>
      <c r="B49" s="174"/>
      <c r="C49" s="467"/>
      <c r="D49" s="467"/>
      <c r="E49" s="467"/>
      <c r="F49" s="467"/>
      <c r="G49" s="467"/>
      <c r="H49" s="467"/>
      <c r="I49" s="467"/>
    </row>
    <row r="50" spans="1:9" ht="18" customHeight="1">
      <c r="A50" s="497" t="s">
        <v>589</v>
      </c>
      <c r="B50" s="497"/>
      <c r="C50" s="168">
        <f>C33+C40+C48</f>
        <v>0</v>
      </c>
      <c r="D50" s="169"/>
      <c r="E50" s="168">
        <f>E33+E40+E48</f>
        <v>0</v>
      </c>
      <c r="F50" s="169"/>
      <c r="G50" s="168">
        <f>G33+G40+G48</f>
        <v>0</v>
      </c>
      <c r="H50" s="466"/>
      <c r="I50" s="168">
        <f>C50+E50+G50</f>
        <v>0</v>
      </c>
    </row>
    <row r="51" spans="1:9" ht="18" customHeight="1">
      <c r="A51" s="467"/>
      <c r="B51" s="467"/>
      <c r="C51" s="467"/>
      <c r="D51" s="467"/>
      <c r="E51" s="467"/>
      <c r="F51" s="467"/>
      <c r="G51" s="467"/>
      <c r="H51" s="467"/>
      <c r="I51" s="467"/>
    </row>
    <row r="52" spans="1:9" ht="18" customHeight="1">
      <c r="A52" s="497" t="s">
        <v>590</v>
      </c>
      <c r="B52" s="497"/>
      <c r="C52" s="175"/>
      <c r="D52" s="467"/>
      <c r="E52" s="175"/>
      <c r="F52" s="467"/>
      <c r="G52" s="175"/>
      <c r="H52" s="173"/>
      <c r="I52" s="176">
        <f>SUM(C52:G52)</f>
        <v>0</v>
      </c>
    </row>
    <row r="53" spans="1:9" ht="18" customHeight="1">
      <c r="A53" s="497" t="s">
        <v>591</v>
      </c>
      <c r="B53" s="497"/>
      <c r="C53" s="175"/>
      <c r="D53" s="467"/>
      <c r="E53" s="175"/>
      <c r="F53" s="467"/>
      <c r="G53" s="175"/>
      <c r="H53" s="173"/>
      <c r="I53" s="176">
        <f>SUM(C53:G53)</f>
        <v>0</v>
      </c>
    </row>
    <row r="54" spans="1:9" ht="18" customHeight="1">
      <c r="A54" s="468"/>
      <c r="B54" s="468"/>
      <c r="C54" s="175"/>
      <c r="D54" s="467"/>
      <c r="E54" s="175"/>
      <c r="F54" s="467"/>
      <c r="G54" s="175"/>
      <c r="H54" s="173"/>
      <c r="I54" s="176"/>
    </row>
  </sheetData>
  <mergeCells count="20">
    <mergeCell ref="A3:I3"/>
    <mergeCell ref="A13:B13"/>
    <mergeCell ref="A20:B20"/>
    <mergeCell ref="A33:B33"/>
    <mergeCell ref="A31:B31"/>
    <mergeCell ref="A29:B29"/>
    <mergeCell ref="A21:B21"/>
    <mergeCell ref="A28:B28"/>
    <mergeCell ref="A30:B30"/>
    <mergeCell ref="A32:B32"/>
    <mergeCell ref="A7:B7"/>
    <mergeCell ref="A8:B8"/>
    <mergeCell ref="A9:B9"/>
    <mergeCell ref="A10:B10"/>
    <mergeCell ref="A53:B53"/>
    <mergeCell ref="A52:B52"/>
    <mergeCell ref="A50:B50"/>
    <mergeCell ref="A48:B48"/>
    <mergeCell ref="A40:B40"/>
    <mergeCell ref="A41:B41"/>
  </mergeCells>
  <phoneticPr fontId="33" type="noConversion"/>
  <printOptions horizontalCentered="1"/>
  <pageMargins left="0.5" right="0.5" top="0.5" bottom="0.5" header="0.5" footer="0.5"/>
  <pageSetup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dimension ref="A1:H47"/>
  <sheetViews>
    <sheetView workbookViewId="0"/>
  </sheetViews>
  <sheetFormatPr defaultColWidth="9.77734375" defaultRowHeight="15"/>
  <cols>
    <col min="1" max="1" width="41.5546875" style="24" customWidth="1"/>
    <col min="2" max="2" width="15.88671875" style="24" customWidth="1"/>
    <col min="3" max="3" width="14" style="24" customWidth="1"/>
    <col min="4" max="4" width="10.77734375" style="35" customWidth="1"/>
    <col min="5" max="16384" width="9.77734375" style="24"/>
  </cols>
  <sheetData>
    <row r="1" spans="1:8" ht="15.75">
      <c r="A1" s="360" t="s">
        <v>6</v>
      </c>
      <c r="B1" s="110"/>
      <c r="C1" s="18"/>
      <c r="D1" s="359"/>
      <c r="E1" s="2"/>
      <c r="F1" s="2"/>
      <c r="G1" s="2"/>
      <c r="H1" s="2"/>
    </row>
    <row r="2" spans="1:8" ht="15.75">
      <c r="A2" s="360" t="s">
        <v>7</v>
      </c>
      <c r="B2" s="110"/>
      <c r="C2" s="18"/>
      <c r="D2" s="359"/>
      <c r="E2" s="2"/>
      <c r="F2" s="2"/>
      <c r="G2" s="2"/>
      <c r="H2" s="2"/>
    </row>
    <row r="3" spans="1:8" ht="15.75">
      <c r="A3" s="361" t="s">
        <v>8</v>
      </c>
      <c r="B3" s="2"/>
      <c r="C3" s="39" t="s">
        <v>9</v>
      </c>
      <c r="D3" s="498">
        <f>'Units &amp; Income'!C24</f>
        <v>0</v>
      </c>
      <c r="E3" s="2"/>
      <c r="F3" s="2"/>
      <c r="G3" s="2"/>
      <c r="H3" s="2"/>
    </row>
    <row r="4" spans="1:8" ht="23.25">
      <c r="A4" s="8"/>
      <c r="B4" s="110"/>
      <c r="C4" s="49"/>
      <c r="D4" s="34"/>
      <c r="E4" s="2"/>
      <c r="F4" s="2"/>
      <c r="G4" s="2"/>
      <c r="H4" s="2"/>
    </row>
    <row r="5" spans="1:8" ht="15.75">
      <c r="A5" s="17" t="s">
        <v>10</v>
      </c>
      <c r="B5" s="2"/>
      <c r="C5" s="499"/>
      <c r="D5" s="28"/>
      <c r="E5" s="11"/>
      <c r="F5" s="49"/>
      <c r="G5" s="49"/>
      <c r="H5" s="2"/>
    </row>
    <row r="6" spans="1:8" ht="16.5" thickBot="1">
      <c r="A6" s="71"/>
      <c r="B6" s="104"/>
      <c r="C6" s="500"/>
      <c r="D6" s="72"/>
      <c r="E6" s="11"/>
      <c r="F6" s="11"/>
      <c r="G6" s="11"/>
      <c r="H6" s="2"/>
    </row>
    <row r="7" spans="1:8" ht="16.5" thickTop="1">
      <c r="A7" s="76" t="s">
        <v>11</v>
      </c>
      <c r="B7" s="2"/>
      <c r="C7" s="501" t="s">
        <v>12</v>
      </c>
      <c r="D7" s="77" t="s">
        <v>13</v>
      </c>
      <c r="E7" s="11"/>
      <c r="F7" s="11"/>
      <c r="G7" s="5"/>
      <c r="H7" s="2"/>
    </row>
    <row r="8" spans="1:8">
      <c r="A8" s="502" t="str">
        <f>'Devel. Bud'!A82</f>
        <v>First Mortgage (Lender:                                )</v>
      </c>
      <c r="B8" s="5">
        <f>'Devel. Bud'!D82</f>
        <v>0</v>
      </c>
      <c r="C8" s="503" t="e">
        <f>B8/'Units &amp; Income'!$C$24</f>
        <v>#DIV/0!</v>
      </c>
      <c r="D8" s="358" t="e">
        <f t="shared" ref="D8:D18" ca="1" si="0">B8/$B$19</f>
        <v>#DIV/0!</v>
      </c>
      <c r="E8" s="29" t="s">
        <v>14</v>
      </c>
      <c r="F8" s="11"/>
      <c r="G8" s="4"/>
      <c r="H8" s="2"/>
    </row>
    <row r="9" spans="1:8">
      <c r="A9" s="502" t="str">
        <f>'Devel. Bud'!A83</f>
        <v>Second Mortgage (Lender:                                )</v>
      </c>
      <c r="B9" s="5">
        <f>'Devel. Bud'!D83</f>
        <v>0</v>
      </c>
      <c r="C9" s="503" t="e">
        <f>B9/'Units &amp; Income'!$C$24</f>
        <v>#DIV/0!</v>
      </c>
      <c r="D9" s="358" t="e">
        <f t="shared" ca="1" si="0"/>
        <v>#DIV/0!</v>
      </c>
      <c r="E9" s="11"/>
      <c r="F9" s="11"/>
      <c r="G9" s="4"/>
      <c r="H9" s="2"/>
    </row>
    <row r="10" spans="1:8">
      <c r="A10" s="502" t="str">
        <f>'Devel. Bud'!A84</f>
        <v>Third Mortgage (Lender:                                )</v>
      </c>
      <c r="B10" s="5">
        <f>'Devel. Bud'!D84</f>
        <v>0</v>
      </c>
      <c r="C10" s="503" t="e">
        <f>B10/'Units &amp; Income'!$C$24</f>
        <v>#DIV/0!</v>
      </c>
      <c r="D10" s="358" t="e">
        <f t="shared" ca="1" si="0"/>
        <v>#DIV/0!</v>
      </c>
      <c r="E10" s="11"/>
      <c r="F10" s="11"/>
      <c r="G10" s="4"/>
      <c r="H10" s="2"/>
    </row>
    <row r="11" spans="1:8">
      <c r="A11" s="502" t="str">
        <f>'Devel. Bud'!A85</f>
        <v>Fourth Mortgage (Lender:                                )</v>
      </c>
      <c r="B11" s="5">
        <f>'Devel. Bud'!D85</f>
        <v>0</v>
      </c>
      <c r="C11" s="503" t="e">
        <f>B11/'Units &amp; Income'!$C$24</f>
        <v>#DIV/0!</v>
      </c>
      <c r="D11" s="358" t="e">
        <f t="shared" ca="1" si="0"/>
        <v>#DIV/0!</v>
      </c>
      <c r="E11" s="11"/>
      <c r="F11" s="11"/>
      <c r="G11" s="4"/>
      <c r="H11" s="2"/>
    </row>
    <row r="12" spans="1:8">
      <c r="A12" s="502" t="str">
        <f>'Devel. Bud'!A86</f>
        <v>LIHTC Equity</v>
      </c>
      <c r="B12" s="5">
        <f>'Devel. Bud'!D86</f>
        <v>0</v>
      </c>
      <c r="C12" s="503" t="e">
        <f>B12/'Units &amp; Income'!$C$24</f>
        <v>#DIV/0!</v>
      </c>
      <c r="D12" s="358" t="e">
        <f t="shared" ref="D12:D13" ca="1" si="1">B12/$B$19</f>
        <v>#DIV/0!</v>
      </c>
      <c r="E12" s="11"/>
      <c r="F12" s="11"/>
      <c r="G12" s="4"/>
      <c r="H12" s="2"/>
    </row>
    <row r="13" spans="1:8">
      <c r="A13" s="502" t="str">
        <f>'Devel. Bud'!A87</f>
        <v>Deferred Reserves</v>
      </c>
      <c r="B13" s="5">
        <f>'Devel. Bud'!D87</f>
        <v>0</v>
      </c>
      <c r="C13" s="503" t="e">
        <f>B13/'Units &amp; Income'!$C$24</f>
        <v>#DIV/0!</v>
      </c>
      <c r="D13" s="358" t="e">
        <f t="shared" ca="1" si="1"/>
        <v>#DIV/0!</v>
      </c>
      <c r="E13" s="11"/>
      <c r="F13" s="11"/>
      <c r="G13" s="4"/>
      <c r="H13" s="2"/>
    </row>
    <row r="14" spans="1:8">
      <c r="A14" s="502" t="str">
        <f>'Devel. Bud'!A88</f>
        <v>Deferred Interest</v>
      </c>
      <c r="B14" s="5" t="e">
        <f ca="1">'Devel. Bud'!D88</f>
        <v>#DIV/0!</v>
      </c>
      <c r="C14" s="503" t="e">
        <f ca="1">B14/'Units &amp; Income'!$C$24</f>
        <v>#DIV/0!</v>
      </c>
      <c r="D14" s="358" t="e">
        <f t="shared" ca="1" si="0"/>
        <v>#DIV/0!</v>
      </c>
      <c r="E14" s="11"/>
      <c r="F14" s="11"/>
      <c r="G14" s="4"/>
      <c r="H14" s="2"/>
    </row>
    <row r="15" spans="1:8">
      <c r="A15" s="502" t="str">
        <f>'Devel. Bud'!A89</f>
        <v>Deferred Developer's Fee</v>
      </c>
      <c r="B15" s="5">
        <f>'Devel. Bud'!D89</f>
        <v>0</v>
      </c>
      <c r="C15" s="503" t="e">
        <f>B15/'Units &amp; Income'!$C$24</f>
        <v>#DIV/0!</v>
      </c>
      <c r="D15" s="358" t="e">
        <f t="shared" ca="1" si="0"/>
        <v>#DIV/0!</v>
      </c>
      <c r="E15" s="11"/>
      <c r="F15" s="11"/>
      <c r="G15" s="4"/>
      <c r="H15" s="2"/>
    </row>
    <row r="16" spans="1:8">
      <c r="A16" s="502" t="str">
        <f>'Devel. Bud'!A90</f>
        <v>Developer Equity</v>
      </c>
      <c r="B16" s="504">
        <f>'Devel. Bud'!D90</f>
        <v>0</v>
      </c>
      <c r="C16" s="503" t="e">
        <f>B16/'Units &amp; Income'!$C$24</f>
        <v>#DIV/0!</v>
      </c>
      <c r="D16" s="358" t="e">
        <f t="shared" ca="1" si="0"/>
        <v>#DIV/0!</v>
      </c>
      <c r="E16" s="11"/>
      <c r="F16" s="11"/>
      <c r="G16" s="4"/>
      <c r="H16" s="2"/>
    </row>
    <row r="17" spans="1:8">
      <c r="A17" s="502" t="str">
        <f>'Devel. Bud'!A91</f>
        <v>Other source (Specify:                                )</v>
      </c>
      <c r="B17" s="504">
        <f>'Devel. Bud'!D91</f>
        <v>0</v>
      </c>
      <c r="C17" s="503" t="e">
        <f>B17/'Units &amp; Income'!$C$24</f>
        <v>#DIV/0!</v>
      </c>
      <c r="D17" s="358" t="e">
        <f t="shared" ca="1" si="0"/>
        <v>#DIV/0!</v>
      </c>
      <c r="E17" s="11"/>
      <c r="F17" s="11"/>
      <c r="G17" s="4"/>
      <c r="H17" s="2"/>
    </row>
    <row r="18" spans="1:8">
      <c r="A18" s="505" t="str">
        <f>'Devel. Bud'!A92</f>
        <v>Gap/(Surplus)</v>
      </c>
      <c r="B18" s="506" t="e">
        <f ca="1">'Devel. Bud'!D92</f>
        <v>#DIV/0!</v>
      </c>
      <c r="C18" s="507" t="e">
        <f ca="1">B18/'Units &amp; Income'!$C$24</f>
        <v>#DIV/0!</v>
      </c>
      <c r="D18" s="423" t="e">
        <f t="shared" ca="1" si="0"/>
        <v>#DIV/0!</v>
      </c>
      <c r="E18" s="2"/>
      <c r="F18" s="9"/>
      <c r="G18" s="4"/>
      <c r="H18" s="30"/>
    </row>
    <row r="19" spans="1:8" ht="15.75">
      <c r="A19" s="414" t="s">
        <v>15</v>
      </c>
      <c r="B19" s="420" t="e">
        <f ca="1">'Devel. Bud'!D93</f>
        <v>#DIV/0!</v>
      </c>
      <c r="C19" s="421" t="e">
        <f ca="1">B19/'Units &amp; Income'!$C$24</f>
        <v>#DIV/0!</v>
      </c>
      <c r="D19" s="422" t="e">
        <f ca="1">SUM(D8:D17)</f>
        <v>#DIV/0!</v>
      </c>
      <c r="E19" s="11"/>
      <c r="F19" s="31"/>
      <c r="G19" s="4"/>
      <c r="H19" s="2"/>
    </row>
    <row r="20" spans="1:8" ht="15.75" thickBot="1">
      <c r="A20" s="104"/>
      <c r="B20" s="104"/>
      <c r="C20" s="508"/>
      <c r="D20" s="73"/>
      <c r="E20" s="11"/>
      <c r="F20" s="11"/>
      <c r="G20" s="11"/>
      <c r="H20" s="2"/>
    </row>
    <row r="21" spans="1:8" ht="16.5" thickTop="1">
      <c r="A21" s="76" t="s">
        <v>16</v>
      </c>
      <c r="B21" s="2"/>
      <c r="C21" s="503"/>
      <c r="D21" s="74"/>
      <c r="E21" s="11"/>
      <c r="F21" s="11"/>
      <c r="G21" s="5"/>
      <c r="H21" s="2"/>
    </row>
    <row r="22" spans="1:8">
      <c r="A22" s="502" t="str">
        <f>A8</f>
        <v>First Mortgage (Lender:                                )</v>
      </c>
      <c r="B22" s="5" t="e">
        <f ca="1">'Devel. Bud'!D96</f>
        <v>#DIV/0!</v>
      </c>
      <c r="C22" s="503" t="e">
        <f ca="1">B22/'Units &amp; Income'!$C$24</f>
        <v>#DIV/0!</v>
      </c>
      <c r="D22" s="358" t="e">
        <f ca="1">B22/B33</f>
        <v>#DIV/0!</v>
      </c>
      <c r="E22" s="11"/>
      <c r="F22" s="11"/>
      <c r="G22" s="4"/>
      <c r="H22" s="2"/>
    </row>
    <row r="23" spans="1:8">
      <c r="A23" s="502" t="str">
        <f>A9</f>
        <v>Second Mortgage (Lender:                                )</v>
      </c>
      <c r="B23" s="5">
        <f>'Devel. Bud'!D97</f>
        <v>0</v>
      </c>
      <c r="C23" s="503" t="e">
        <f>B23/'Units &amp; Income'!$C$24</f>
        <v>#DIV/0!</v>
      </c>
      <c r="D23" s="358" t="e">
        <f ca="1">B23/$B$33</f>
        <v>#DIV/0!</v>
      </c>
      <c r="E23" s="11"/>
      <c r="F23" s="11"/>
      <c r="G23" s="4"/>
      <c r="H23" s="2"/>
    </row>
    <row r="24" spans="1:8">
      <c r="A24" s="502" t="str">
        <f>A10</f>
        <v>Third Mortgage (Lender:                                )</v>
      </c>
      <c r="B24" s="5">
        <f>'Devel. Bud'!D98</f>
        <v>0</v>
      </c>
      <c r="C24" s="503" t="e">
        <f>B24/'Units &amp; Income'!$C$24</f>
        <v>#DIV/0!</v>
      </c>
      <c r="D24" s="358" t="e">
        <f ca="1">B24/$B$33</f>
        <v>#DIV/0!</v>
      </c>
      <c r="E24" s="11"/>
      <c r="F24" s="11"/>
      <c r="G24" s="4"/>
      <c r="H24" s="2"/>
    </row>
    <row r="25" spans="1:8">
      <c r="A25" s="502" t="str">
        <f>A11</f>
        <v>Fourth Mortgage (Lender:                                )</v>
      </c>
      <c r="B25" s="5">
        <f>'Devel. Bud'!D99</f>
        <v>0</v>
      </c>
      <c r="C25" s="503" t="e">
        <f>B25/'Units &amp; Income'!$C$24</f>
        <v>#DIV/0!</v>
      </c>
      <c r="D25" s="358" t="e">
        <f ca="1">B25/$B$33</f>
        <v>#DIV/0!</v>
      </c>
      <c r="E25" s="11"/>
      <c r="F25" s="11"/>
      <c r="G25" s="4"/>
      <c r="H25" s="2"/>
    </row>
    <row r="26" spans="1:8">
      <c r="A26" s="502" t="str">
        <f t="shared" ref="A26:A30" si="2">A12</f>
        <v>LIHTC Equity</v>
      </c>
      <c r="B26" s="5">
        <f>'Devel. Bud'!D100</f>
        <v>0</v>
      </c>
      <c r="C26" s="503" t="e">
        <f>B26/'Units &amp; Income'!$C$24</f>
        <v>#DIV/0!</v>
      </c>
      <c r="D26" s="358" t="e">
        <f ca="1">B26/$B$33</f>
        <v>#DIV/0!</v>
      </c>
      <c r="E26" s="11"/>
      <c r="F26" s="11"/>
      <c r="G26" s="4"/>
      <c r="H26" s="2"/>
    </row>
    <row r="27" spans="1:8">
      <c r="A27" s="502" t="str">
        <f t="shared" si="2"/>
        <v>Deferred Reserves</v>
      </c>
      <c r="B27" s="5">
        <f>'Devel. Bud'!D101</f>
        <v>0</v>
      </c>
      <c r="C27" s="503"/>
      <c r="D27" s="358"/>
      <c r="E27" s="11"/>
      <c r="F27" s="11"/>
      <c r="G27" s="4"/>
      <c r="H27" s="2"/>
    </row>
    <row r="28" spans="1:8">
      <c r="A28" s="502" t="str">
        <f t="shared" si="2"/>
        <v>Deferred Interest</v>
      </c>
      <c r="B28" s="5" t="e">
        <f ca="1">'Devel. Bud'!D102</f>
        <v>#DIV/0!</v>
      </c>
      <c r="C28" s="503"/>
      <c r="D28" s="358"/>
      <c r="E28" s="11"/>
      <c r="F28" s="11"/>
      <c r="G28" s="4"/>
      <c r="H28" s="2"/>
    </row>
    <row r="29" spans="1:8">
      <c r="A29" s="502" t="str">
        <f t="shared" si="2"/>
        <v>Deferred Developer's Fee</v>
      </c>
      <c r="B29" s="504">
        <f>'Devel. Bud'!D103</f>
        <v>0</v>
      </c>
      <c r="C29" s="503" t="e">
        <f>B29/'Units &amp; Income'!$C$24</f>
        <v>#DIV/0!</v>
      </c>
      <c r="D29" s="358" t="e">
        <f ca="1">B29/$B$33</f>
        <v>#DIV/0!</v>
      </c>
      <c r="E29" s="11"/>
      <c r="F29" s="11"/>
      <c r="G29" s="4"/>
      <c r="H29" s="2"/>
    </row>
    <row r="30" spans="1:8">
      <c r="A30" s="502" t="str">
        <f t="shared" si="2"/>
        <v>Developer Equity</v>
      </c>
      <c r="B30" s="5">
        <f>'Devel. Bud'!D104</f>
        <v>0</v>
      </c>
      <c r="C30" s="503" t="e">
        <f>B30/'Units &amp; Income'!$C$24</f>
        <v>#DIV/0!</v>
      </c>
      <c r="D30" s="358" t="e">
        <f ca="1">B30/$B$33</f>
        <v>#DIV/0!</v>
      </c>
      <c r="E30" s="11"/>
      <c r="F30" s="11"/>
      <c r="G30" s="4"/>
      <c r="H30" s="2"/>
    </row>
    <row r="31" spans="1:8">
      <c r="A31" s="502" t="str">
        <f>A17</f>
        <v>Other source (Specify:                                )</v>
      </c>
      <c r="B31" s="504">
        <f>'Devel. Bud'!D105</f>
        <v>0</v>
      </c>
      <c r="C31" s="503" t="e">
        <f>B31/'Units &amp; Income'!$C$24</f>
        <v>#DIV/0!</v>
      </c>
      <c r="D31" s="358" t="e">
        <f ca="1">B31/$B$33</f>
        <v>#DIV/0!</v>
      </c>
      <c r="E31" s="11"/>
      <c r="F31" s="11"/>
      <c r="G31" s="4"/>
      <c r="H31" s="2"/>
    </row>
    <row r="32" spans="1:8">
      <c r="A32" s="505" t="str">
        <f>A18</f>
        <v>Gap/(Surplus)</v>
      </c>
      <c r="B32" s="506" t="e">
        <f ca="1">'Devel. Bud'!D106</f>
        <v>#DIV/0!</v>
      </c>
      <c r="C32" s="507" t="e">
        <f ca="1">B32/'Units &amp; Income'!$C$24</f>
        <v>#DIV/0!</v>
      </c>
      <c r="D32" s="423" t="e">
        <f ca="1">B32/$B$33</f>
        <v>#DIV/0!</v>
      </c>
      <c r="E32" s="2"/>
      <c r="F32" s="9"/>
      <c r="G32" s="4"/>
      <c r="H32" s="30"/>
    </row>
    <row r="33" spans="1:8" ht="15.75">
      <c r="A33" s="414" t="s">
        <v>15</v>
      </c>
      <c r="B33" s="424" t="e">
        <f ca="1">'Devel. Bud'!D107</f>
        <v>#DIV/0!</v>
      </c>
      <c r="C33" s="421" t="e">
        <f ca="1">B33/'Units &amp; Income'!$C$24</f>
        <v>#DIV/0!</v>
      </c>
      <c r="D33" s="422" t="e">
        <f ca="1">SUM(D22:D31)</f>
        <v>#DIV/0!</v>
      </c>
      <c r="E33" s="11"/>
      <c r="F33" s="31"/>
      <c r="G33" s="4"/>
      <c r="H33" s="2"/>
    </row>
    <row r="34" spans="1:8" ht="15.75" thickBot="1">
      <c r="A34" s="2"/>
      <c r="B34" s="104"/>
      <c r="C34" s="508"/>
      <c r="D34" s="28"/>
      <c r="E34" s="11"/>
      <c r="F34" s="31"/>
      <c r="G34" s="4"/>
      <c r="H34" s="2"/>
    </row>
    <row r="35" spans="1:8" ht="16.5" thickTop="1">
      <c r="A35" s="76" t="s">
        <v>17</v>
      </c>
      <c r="B35" s="4"/>
      <c r="C35" s="503"/>
      <c r="D35" s="74"/>
      <c r="E35" s="11"/>
      <c r="F35" s="11"/>
      <c r="G35" s="4"/>
      <c r="H35" s="49"/>
    </row>
    <row r="36" spans="1:8">
      <c r="A36" s="509" t="s">
        <v>18</v>
      </c>
      <c r="B36" s="510">
        <f>'Devel. Bud'!D7</f>
        <v>0</v>
      </c>
      <c r="C36" s="503" t="e">
        <f>B36/'Units &amp; Income'!$C$24</f>
        <v>#DIV/0!</v>
      </c>
      <c r="D36" s="358" t="e">
        <f ca="1">B36/$B$41</f>
        <v>#DIV/0!</v>
      </c>
      <c r="E36" s="11"/>
      <c r="F36" s="32"/>
      <c r="G36" s="4"/>
      <c r="H36" s="49"/>
    </row>
    <row r="37" spans="1:8">
      <c r="A37" s="509" t="s">
        <v>19</v>
      </c>
      <c r="B37" s="5">
        <f>'Devel. Bud'!D17</f>
        <v>0</v>
      </c>
      <c r="C37" s="503" t="e">
        <f>B37/'Units &amp; Income'!$C$24</f>
        <v>#DIV/0!</v>
      </c>
      <c r="D37" s="358" t="e">
        <f ca="1">B37/$B$41</f>
        <v>#DIV/0!</v>
      </c>
      <c r="E37" s="11"/>
      <c r="F37" s="11"/>
      <c r="G37" s="33"/>
      <c r="H37" s="49"/>
    </row>
    <row r="38" spans="1:8">
      <c r="A38" s="511" t="s">
        <v>20</v>
      </c>
      <c r="B38" s="504" t="e">
        <f ca="1">'Devel. Bud'!D74</f>
        <v>#DIV/0!</v>
      </c>
      <c r="C38" s="503" t="e">
        <f ca="1">B38/'Units &amp; Income'!$C$24</f>
        <v>#DIV/0!</v>
      </c>
      <c r="D38" s="358" t="e">
        <f ca="1">B38/$B$41</f>
        <v>#DIV/0!</v>
      </c>
      <c r="E38" s="11"/>
      <c r="F38" s="11"/>
      <c r="G38" s="33"/>
      <c r="H38" s="49"/>
    </row>
    <row r="39" spans="1:8">
      <c r="A39" s="511" t="s">
        <v>21</v>
      </c>
      <c r="B39" s="5">
        <f>'Devel. Bud'!D76</f>
        <v>0</v>
      </c>
      <c r="C39" s="503" t="e">
        <f>B39/'Units &amp; Income'!$C$24</f>
        <v>#DIV/0!</v>
      </c>
      <c r="D39" s="358" t="e">
        <f ca="1">B39/$B$41</f>
        <v>#DIV/0!</v>
      </c>
      <c r="E39" s="11"/>
      <c r="F39" s="11"/>
      <c r="G39" s="33"/>
      <c r="H39" s="49"/>
    </row>
    <row r="40" spans="1:8">
      <c r="A40" s="512"/>
      <c r="B40" s="513"/>
      <c r="C40" s="503"/>
      <c r="D40" s="514"/>
      <c r="E40" s="11"/>
      <c r="F40" s="11"/>
      <c r="G40" s="33"/>
      <c r="H40" s="49"/>
    </row>
    <row r="41" spans="1:8">
      <c r="A41" s="91" t="s">
        <v>22</v>
      </c>
      <c r="B41" s="515" t="e">
        <f ca="1">B33</f>
        <v>#DIV/0!</v>
      </c>
      <c r="C41" s="516" t="e">
        <f ca="1">B41/'Units &amp; Income'!$C$24</f>
        <v>#DIV/0!</v>
      </c>
      <c r="D41" s="75" t="e">
        <f ca="1">SUM(D36:D39)</f>
        <v>#DIV/0!</v>
      </c>
      <c r="E41" s="11"/>
      <c r="F41" s="11"/>
      <c r="G41" s="33"/>
      <c r="H41" s="49"/>
    </row>
    <row r="42" spans="1:8">
      <c r="A42" s="2"/>
      <c r="B42" s="2"/>
      <c r="C42" s="499"/>
      <c r="D42" s="30"/>
      <c r="E42" s="11"/>
      <c r="F42" s="11"/>
      <c r="G42" s="33"/>
      <c r="H42" s="49"/>
    </row>
    <row r="43" spans="1:8">
      <c r="A43" s="2"/>
      <c r="B43" s="29"/>
      <c r="C43" s="499"/>
      <c r="D43" s="30"/>
      <c r="E43" s="11"/>
      <c r="F43" s="11"/>
      <c r="G43" s="11"/>
      <c r="H43" s="49"/>
    </row>
    <row r="44" spans="1:8">
      <c r="A44" s="15"/>
      <c r="B44" s="12"/>
      <c r="C44" s="499"/>
      <c r="D44" s="28"/>
      <c r="E44" s="11"/>
      <c r="F44" s="11"/>
      <c r="G44" s="11"/>
      <c r="H44" s="49"/>
    </row>
    <row r="45" spans="1:8">
      <c r="A45" s="2"/>
      <c r="B45" s="2"/>
      <c r="C45" s="49"/>
      <c r="D45" s="28"/>
      <c r="E45" s="2"/>
      <c r="F45" s="2"/>
      <c r="G45" s="2"/>
      <c r="H45" s="49"/>
    </row>
    <row r="46" spans="1:8">
      <c r="A46" s="2"/>
      <c r="B46" s="2"/>
      <c r="C46" s="49"/>
      <c r="D46" s="28"/>
      <c r="E46" s="2"/>
      <c r="F46" s="2"/>
      <c r="G46" s="2"/>
      <c r="H46" s="49"/>
    </row>
    <row r="47" spans="1:8">
      <c r="A47" s="2"/>
      <c r="B47" s="2"/>
      <c r="C47" s="49"/>
      <c r="D47" s="28"/>
      <c r="E47" s="2"/>
      <c r="F47" s="2"/>
      <c r="G47" s="2"/>
      <c r="H47" s="49"/>
    </row>
  </sheetData>
  <customSheetViews>
    <customSheetView guid="{25C4E7E7-1006-4A2D-BC83-AEE4ADF8A914}" scale="75" colorId="22" showPageBreaks="1" printArea="1" hiddenRows="1" showRuler="0">
      <selection activeCell="A33" sqref="A33"/>
      <pageMargins left="0" right="0" top="0" bottom="0" header="0" footer="0"/>
      <pageSetup scale="90" orientation="landscape" r:id="rId1"/>
      <headerFooter alignWithMargins="0"/>
    </customSheetView>
    <customSheetView guid="{28F81D13-D146-4D67-8981-BA5D7A496326}" scale="87" colorId="22" showPageBreaks="1" printArea="1" showRuler="0" topLeftCell="A7">
      <selection activeCell="H12" sqref="H12"/>
      <pageMargins left="0" right="0" top="0" bottom="0" header="0" footer="0"/>
      <pageSetup scale="96" orientation="landscape" r:id="rId2"/>
      <headerFooter alignWithMargins="0"/>
    </customSheetView>
    <customSheetView guid="{AEA5979F-5357-4ED6-A6CA-1BB80F5C7A74}" scale="87" colorId="22" showPageBreaks="1" printArea="1" showRuler="0">
      <selection activeCell="A21" sqref="A21"/>
      <pageMargins left="0" right="0" top="0" bottom="0" header="0" footer="0"/>
      <pageSetup scale="96" orientation="landscape" r:id="rId3"/>
      <headerFooter alignWithMargins="0"/>
    </customSheetView>
    <customSheetView guid="{EB776EFC-3589-4DB5-BEAF-1E83D9703F9E}" scale="87" colorId="22" showRuler="0" topLeftCell="A8">
      <selection activeCell="H21" sqref="H21"/>
      <pageMargins left="0" right="0" top="0" bottom="0" header="0" footer="0"/>
      <pageSetup orientation="landscape" r:id="rId4"/>
      <headerFooter alignWithMargins="0"/>
    </customSheetView>
    <customSheetView guid="{FBB4BF8E-8A9F-4E98-A6F9-5F9BF4C55C67}" scale="87" colorId="22" showPageBreaks="1" showRuler="0" topLeftCell="C5">
      <selection activeCell="I16" sqref="I16"/>
      <pageMargins left="0" right="0" top="0" bottom="0" header="0" footer="0"/>
      <pageSetup orientation="landscape" r:id="rId5"/>
      <headerFooter alignWithMargins="0"/>
    </customSheetView>
    <customSheetView guid="{6EF643BE-69F3-424E-8A44-3890161370D4}" scale="87" colorId="22" showPageBreaks="1" printArea="1" showRuler="0" topLeftCell="A4">
      <selection activeCell="H13" sqref="H13"/>
      <pageMargins left="0" right="0" top="0" bottom="0" header="0" footer="0"/>
      <pageSetup scale="96" orientation="landscape" r:id="rId6"/>
      <headerFooter alignWithMargins="0"/>
    </customSheetView>
    <customSheetView guid="{1ECE83C7-A3CE-4F97-BFD3-498FF783C0D9}" scale="75" colorId="22" showPageBreaks="1" printArea="1" showRuler="0" topLeftCell="A17">
      <selection activeCell="H29" sqref="H29"/>
      <pageMargins left="0" right="0" top="0" bottom="0" header="0" footer="0"/>
      <pageSetup scale="90" orientation="landscape" r:id="rId7"/>
      <headerFooter alignWithMargins="0"/>
    </customSheetView>
    <customSheetView guid="{560D4AFA-61E5-46C3-B0CD-D0EB3053A033}" scale="75" colorId="22" showPageBreaks="1" printArea="1" hiddenRows="1" showRuler="0">
      <selection activeCell="B7" sqref="B7:B14"/>
      <pageMargins left="0" right="0" top="0" bottom="0" header="0" footer="0"/>
      <pageSetup scale="90" orientation="landscape" r:id="rId8"/>
      <headerFooter alignWithMargins="0"/>
    </customSheetView>
  </customSheetViews>
  <phoneticPr fontId="0" type="noConversion"/>
  <pageMargins left="0.75" right="0.5" top="0.75" bottom="0.5" header="0.5" footer="0.5"/>
  <pageSetup scale="90" firstPageNumber="206" orientation="portrait" useFirstPageNumber="1" r:id="rId9"/>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pageSetUpPr fitToPage="1"/>
  </sheetPr>
  <dimension ref="A1:P116"/>
  <sheetViews>
    <sheetView workbookViewId="0"/>
  </sheetViews>
  <sheetFormatPr defaultColWidth="9.77734375" defaultRowHeight="15"/>
  <cols>
    <col min="1" max="1" width="41" style="24" customWidth="1"/>
    <col min="2" max="2" width="8.5546875" style="24" customWidth="1"/>
    <col min="3" max="3" width="12" style="24" bestFit="1" customWidth="1"/>
    <col min="4" max="4" width="16" style="37" customWidth="1"/>
    <col min="5" max="5" width="16.109375" style="24" customWidth="1"/>
    <col min="6" max="6" width="15.6640625" style="24" customWidth="1"/>
    <col min="7" max="7" width="10.44140625" style="24" customWidth="1"/>
    <col min="8" max="8" width="11.109375" style="24" customWidth="1"/>
    <col min="9" max="9" width="12.77734375" style="24" customWidth="1"/>
    <col min="10" max="10" width="12.44140625" style="24" customWidth="1"/>
    <col min="11" max="12" width="9.77734375" style="24"/>
    <col min="13" max="13" width="12.44140625" style="24" customWidth="1"/>
    <col min="14" max="14" width="10.6640625" style="24" bestFit="1" customWidth="1"/>
    <col min="15" max="16384" width="9.77734375" style="24"/>
  </cols>
  <sheetData>
    <row r="1" spans="1:10" ht="16.5" customHeight="1">
      <c r="A1" s="1" t="str">
        <f>'Sources and Use'!A1</f>
        <v xml:space="preserve">Project Name: </v>
      </c>
      <c r="B1" s="49"/>
      <c r="C1" s="16"/>
      <c r="D1" s="517"/>
      <c r="E1" s="1"/>
      <c r="F1" s="17"/>
      <c r="G1" s="49"/>
      <c r="H1" s="49"/>
      <c r="I1" s="49"/>
      <c r="J1" s="49"/>
    </row>
    <row r="2" spans="1:10" ht="16.5" customHeight="1">
      <c r="A2" s="1" t="str">
        <f>'Sources and Use'!A2</f>
        <v>Development Team:</v>
      </c>
      <c r="B2" s="49"/>
      <c r="C2" s="16"/>
      <c r="D2" s="517"/>
      <c r="E2" s="1"/>
      <c r="F2" s="17"/>
      <c r="G2" s="49"/>
      <c r="H2" s="49"/>
      <c r="I2" s="49"/>
      <c r="J2" s="49"/>
    </row>
    <row r="3" spans="1:10" ht="16.5" customHeight="1">
      <c r="A3" s="1" t="str">
        <f>'Units &amp; Income'!B3</f>
        <v>Site:</v>
      </c>
      <c r="B3" s="49"/>
      <c r="C3" s="16"/>
      <c r="D3" s="517"/>
      <c r="E3" s="1" t="str">
        <f>'Sources and Use'!C3</f>
        <v>Units:</v>
      </c>
      <c r="F3" s="17">
        <f>'Units &amp; Income'!C24</f>
        <v>0</v>
      </c>
      <c r="G3" s="49"/>
      <c r="H3" s="49"/>
      <c r="I3" s="49"/>
      <c r="J3" s="49"/>
    </row>
    <row r="4" spans="1:10" ht="15" customHeight="1">
      <c r="A4" s="16"/>
      <c r="B4" s="1"/>
      <c r="C4" s="16"/>
      <c r="D4" s="517"/>
      <c r="E4" s="49"/>
      <c r="F4" s="49"/>
      <c r="G4" s="49"/>
      <c r="H4" s="49"/>
      <c r="I4" s="49"/>
      <c r="J4" s="49"/>
    </row>
    <row r="5" spans="1:10" ht="15.75" customHeight="1">
      <c r="A5" s="1" t="s">
        <v>23</v>
      </c>
      <c r="B5" s="26"/>
      <c r="C5" s="16"/>
      <c r="D5" s="518"/>
      <c r="E5" s="519"/>
      <c r="F5" s="17"/>
      <c r="G5" s="49"/>
      <c r="H5" s="49"/>
      <c r="I5" s="49"/>
      <c r="J5" s="49"/>
    </row>
    <row r="6" spans="1:10">
      <c r="A6" s="2"/>
      <c r="B6" s="2"/>
      <c r="C6" s="2"/>
      <c r="D6" s="520" t="s">
        <v>24</v>
      </c>
      <c r="E6" s="2"/>
      <c r="F6" s="2"/>
      <c r="G6" s="2"/>
      <c r="H6" s="49"/>
      <c r="I6" s="49"/>
      <c r="J6" s="49"/>
    </row>
    <row r="7" spans="1:10" ht="15.75">
      <c r="A7" s="259" t="s">
        <v>25</v>
      </c>
      <c r="B7" s="260"/>
      <c r="C7" s="261"/>
      <c r="D7" s="262">
        <v>0</v>
      </c>
      <c r="E7" s="263"/>
      <c r="F7" s="264"/>
      <c r="G7" s="2"/>
      <c r="H7" s="49"/>
      <c r="I7" s="49"/>
      <c r="J7" s="49"/>
    </row>
    <row r="8" spans="1:10" ht="15.75">
      <c r="A8" s="265"/>
      <c r="B8" s="509"/>
      <c r="C8" s="521"/>
      <c r="D8" s="522"/>
      <c r="E8" s="509"/>
      <c r="F8" s="523"/>
      <c r="G8" s="2"/>
      <c r="H8" s="49"/>
      <c r="I8" s="49"/>
      <c r="J8" s="49" t="s">
        <v>14</v>
      </c>
    </row>
    <row r="9" spans="1:10">
      <c r="A9" s="266" t="s">
        <v>26</v>
      </c>
      <c r="B9" s="524"/>
      <c r="C9" s="525"/>
      <c r="D9" s="522"/>
      <c r="E9" s="2"/>
      <c r="F9" s="523"/>
      <c r="G9" s="2" t="s">
        <v>14</v>
      </c>
      <c r="H9" s="49" t="s">
        <v>14</v>
      </c>
      <c r="I9" s="49" t="s">
        <v>14</v>
      </c>
      <c r="J9" s="49" t="s">
        <v>14</v>
      </c>
    </row>
    <row r="10" spans="1:10">
      <c r="A10" s="272" t="s">
        <v>27</v>
      </c>
      <c r="B10" s="524"/>
      <c r="C10" s="36"/>
      <c r="D10" s="522"/>
      <c r="E10" s="2"/>
      <c r="F10" s="523"/>
      <c r="G10" s="2"/>
      <c r="H10" s="49"/>
      <c r="I10" s="49"/>
      <c r="J10" s="49"/>
    </row>
    <row r="11" spans="1:10">
      <c r="A11" s="526" t="s">
        <v>28</v>
      </c>
      <c r="B11" s="527" t="e">
        <f>D11/'Units &amp; Income'!C24</f>
        <v>#DIV/0!</v>
      </c>
      <c r="C11" s="2" t="s">
        <v>29</v>
      </c>
      <c r="D11" s="528"/>
      <c r="E11" s="529" t="e">
        <f>D11/'Units &amp; Income'!C6</f>
        <v>#DIV/0!</v>
      </c>
      <c r="F11" s="523" t="s">
        <v>30</v>
      </c>
      <c r="G11" s="2" t="s">
        <v>14</v>
      </c>
      <c r="H11" s="49" t="s">
        <v>31</v>
      </c>
      <c r="I11" s="49" t="s">
        <v>14</v>
      </c>
      <c r="J11" s="49" t="s">
        <v>14</v>
      </c>
    </row>
    <row r="12" spans="1:10">
      <c r="A12" s="530" t="s">
        <v>32</v>
      </c>
      <c r="B12" s="527"/>
      <c r="C12" s="2"/>
      <c r="D12" s="528"/>
      <c r="E12" s="49" t="e">
        <f>D12/'Units &amp; Income'!C7</f>
        <v>#DIV/0!</v>
      </c>
      <c r="F12" s="523" t="s">
        <v>30</v>
      </c>
      <c r="G12" s="2"/>
      <c r="H12" s="49"/>
      <c r="I12" s="49"/>
      <c r="J12" s="49"/>
    </row>
    <row r="13" spans="1:10">
      <c r="A13" s="531" t="s">
        <v>33</v>
      </c>
      <c r="B13" s="532"/>
      <c r="C13" s="2"/>
      <c r="D13" s="528"/>
      <c r="E13" s="529" t="e">
        <f>D13/'Units &amp; Income'!C8</f>
        <v>#DIV/0!</v>
      </c>
      <c r="F13" s="523" t="s">
        <v>30</v>
      </c>
      <c r="G13" s="2" t="s">
        <v>14</v>
      </c>
      <c r="H13" s="49" t="s">
        <v>14</v>
      </c>
      <c r="I13" s="49" t="s">
        <v>14</v>
      </c>
      <c r="J13" s="49" t="s">
        <v>14</v>
      </c>
    </row>
    <row r="14" spans="1:10">
      <c r="A14" s="526" t="s">
        <v>34</v>
      </c>
      <c r="B14" s="532"/>
      <c r="C14" s="2"/>
      <c r="D14" s="528"/>
      <c r="E14" s="529" t="e">
        <f>D14/'Units &amp; Income'!C9</f>
        <v>#DIV/0!</v>
      </c>
      <c r="F14" s="523" t="s">
        <v>30</v>
      </c>
      <c r="G14" s="2"/>
      <c r="H14" s="49"/>
      <c r="I14" s="49"/>
      <c r="J14" s="49"/>
    </row>
    <row r="15" spans="1:10">
      <c r="A15" s="526" t="s">
        <v>35</v>
      </c>
      <c r="B15" s="509"/>
      <c r="C15" s="2"/>
      <c r="D15" s="528"/>
      <c r="E15" s="529" t="e">
        <f>D15/'Units &amp; Income'!C10</f>
        <v>#DIV/0!</v>
      </c>
      <c r="F15" s="523" t="s">
        <v>30</v>
      </c>
      <c r="G15" s="2" t="s">
        <v>14</v>
      </c>
      <c r="H15" s="49" t="s">
        <v>14</v>
      </c>
      <c r="I15" s="49" t="s">
        <v>14</v>
      </c>
      <c r="J15" s="49" t="s">
        <v>14</v>
      </c>
    </row>
    <row r="16" spans="1:10" ht="17.25">
      <c r="A16" s="533" t="s">
        <v>36</v>
      </c>
      <c r="B16" s="534"/>
      <c r="C16" s="535"/>
      <c r="D16" s="282">
        <f>B16*($D$11+$D$13+$D$14+$D$15)</f>
        <v>0</v>
      </c>
      <c r="E16" s="46"/>
      <c r="F16" s="523"/>
      <c r="G16" s="2" t="s">
        <v>14</v>
      </c>
      <c r="H16" s="49" t="s">
        <v>14</v>
      </c>
      <c r="I16" s="49" t="s">
        <v>14</v>
      </c>
      <c r="J16" s="49" t="s">
        <v>14</v>
      </c>
    </row>
    <row r="17" spans="1:16" ht="15.75">
      <c r="A17" s="267" t="s">
        <v>37</v>
      </c>
      <c r="B17" s="532" t="e">
        <f>D17/'Units &amp; Income'!C24</f>
        <v>#DIV/0!</v>
      </c>
      <c r="C17" s="2" t="s">
        <v>29</v>
      </c>
      <c r="D17" s="55">
        <f>SUM(D11:D16)</f>
        <v>0</v>
      </c>
      <c r="E17" s="46" t="e">
        <f>D17/'Units &amp; Income'!C11</f>
        <v>#DIV/0!</v>
      </c>
      <c r="F17" s="536" t="s">
        <v>38</v>
      </c>
      <c r="G17" s="2"/>
      <c r="H17" s="49"/>
      <c r="I17" s="49"/>
      <c r="J17" s="49"/>
      <c r="K17" s="49"/>
      <c r="L17" s="49"/>
      <c r="M17" s="49"/>
      <c r="N17" s="49"/>
      <c r="O17" s="49"/>
      <c r="P17" s="49"/>
    </row>
    <row r="18" spans="1:16">
      <c r="A18" s="272"/>
      <c r="B18" s="509"/>
      <c r="C18" s="521"/>
      <c r="D18" s="522"/>
      <c r="E18" s="509"/>
      <c r="F18" s="523"/>
      <c r="G18" s="2"/>
      <c r="H18" s="49"/>
      <c r="I18" s="49"/>
      <c r="J18" s="49"/>
      <c r="K18" s="49"/>
      <c r="L18" s="49"/>
      <c r="M18" s="49"/>
      <c r="N18" s="49"/>
      <c r="O18" s="49"/>
      <c r="P18" s="49"/>
    </row>
    <row r="19" spans="1:16">
      <c r="A19" s="272"/>
      <c r="B19" s="509"/>
      <c r="C19" s="521"/>
      <c r="D19" s="522"/>
      <c r="E19" s="509"/>
      <c r="F19" s="523"/>
      <c r="G19" s="2"/>
      <c r="H19" s="49"/>
      <c r="I19" s="49"/>
      <c r="J19" s="49"/>
      <c r="K19" s="49"/>
      <c r="L19" s="49"/>
      <c r="M19" s="49"/>
      <c r="N19" s="49"/>
      <c r="O19" s="49"/>
      <c r="P19" s="49"/>
    </row>
    <row r="20" spans="1:16">
      <c r="A20" s="266" t="s">
        <v>39</v>
      </c>
      <c r="B20" s="524"/>
      <c r="C20" s="525"/>
      <c r="D20" s="522"/>
      <c r="E20" s="509"/>
      <c r="F20" s="523"/>
      <c r="G20" s="2"/>
      <c r="H20" s="2"/>
      <c r="I20" s="2"/>
      <c r="J20" s="2"/>
      <c r="K20" s="2"/>
      <c r="L20" s="2"/>
      <c r="M20" s="2"/>
      <c r="N20" s="2"/>
      <c r="O20" s="2"/>
      <c r="P20" s="2"/>
    </row>
    <row r="21" spans="1:16">
      <c r="A21" s="268"/>
      <c r="B21" s="524"/>
      <c r="C21" s="525"/>
      <c r="D21" s="504"/>
      <c r="E21" s="509"/>
      <c r="F21" s="523"/>
      <c r="G21" s="2"/>
      <c r="H21" s="2"/>
      <c r="I21" s="2"/>
      <c r="J21" s="2"/>
      <c r="K21" s="2"/>
      <c r="L21" s="2"/>
      <c r="M21" s="2"/>
      <c r="N21" s="2"/>
      <c r="O21" s="2"/>
      <c r="P21" s="2"/>
    </row>
    <row r="22" spans="1:16">
      <c r="A22" s="272" t="s">
        <v>40</v>
      </c>
      <c r="B22" s="509"/>
      <c r="C22" s="521"/>
      <c r="D22" s="537"/>
      <c r="E22" s="538"/>
      <c r="F22" s="523"/>
      <c r="G22" s="2"/>
      <c r="H22" s="2"/>
      <c r="I22" s="2"/>
      <c r="J22" s="2"/>
      <c r="K22" s="2"/>
      <c r="L22" s="2"/>
      <c r="M22" s="2"/>
      <c r="N22" s="2"/>
      <c r="O22" s="2"/>
      <c r="P22" s="2"/>
    </row>
    <row r="23" spans="1:16">
      <c r="A23" s="272" t="s">
        <v>41</v>
      </c>
      <c r="B23" s="509"/>
      <c r="C23" s="539"/>
      <c r="D23" s="537"/>
      <c r="E23" s="527"/>
      <c r="F23" s="523"/>
      <c r="G23" s="2"/>
      <c r="H23" s="2"/>
      <c r="I23" s="2"/>
      <c r="J23" s="2"/>
      <c r="K23" s="2"/>
      <c r="L23" s="2"/>
      <c r="M23" s="2"/>
      <c r="N23" s="2"/>
      <c r="O23" s="2"/>
      <c r="P23" s="2"/>
    </row>
    <row r="24" spans="1:16">
      <c r="A24" s="272" t="s">
        <v>42</v>
      </c>
      <c r="B24" s="509"/>
      <c r="C24" s="521"/>
      <c r="D24" s="537"/>
      <c r="E24" s="540"/>
      <c r="F24" s="523"/>
      <c r="G24" s="2"/>
      <c r="H24" s="2"/>
      <c r="I24" s="2"/>
      <c r="J24" s="2"/>
      <c r="K24" s="2"/>
      <c r="L24" s="2"/>
      <c r="M24" s="2"/>
      <c r="N24" s="2"/>
      <c r="O24" s="2"/>
      <c r="P24" s="2"/>
    </row>
    <row r="25" spans="1:16">
      <c r="A25" s="272" t="s">
        <v>43</v>
      </c>
      <c r="B25" s="509"/>
      <c r="C25" s="521"/>
      <c r="D25" s="537"/>
      <c r="E25" s="540"/>
      <c r="F25" s="523"/>
      <c r="G25" s="2"/>
      <c r="H25" s="2"/>
      <c r="I25" s="2"/>
      <c r="J25" s="2"/>
      <c r="K25" s="2"/>
      <c r="L25" s="2"/>
      <c r="M25" s="2"/>
      <c r="N25" s="2"/>
      <c r="O25" s="2"/>
      <c r="P25" s="2"/>
    </row>
    <row r="26" spans="1:16">
      <c r="A26" s="272" t="s">
        <v>44</v>
      </c>
      <c r="B26" s="509"/>
      <c r="C26" s="521"/>
      <c r="D26" s="537"/>
      <c r="E26" s="540"/>
      <c r="F26" s="523"/>
      <c r="G26" s="2"/>
      <c r="H26" s="2"/>
      <c r="I26" s="2"/>
      <c r="J26" s="2"/>
      <c r="K26" s="2"/>
      <c r="L26" s="2"/>
      <c r="M26" s="2"/>
      <c r="N26" s="2"/>
      <c r="O26" s="2"/>
      <c r="P26" s="2"/>
    </row>
    <row r="27" spans="1:16">
      <c r="A27" s="272" t="s">
        <v>45</v>
      </c>
      <c r="B27" s="509"/>
      <c r="C27" s="521"/>
      <c r="D27" s="537"/>
      <c r="E27" s="540"/>
      <c r="F27" s="523"/>
      <c r="G27" s="2"/>
      <c r="H27" s="2"/>
      <c r="I27" s="2"/>
      <c r="J27" s="2"/>
      <c r="K27" s="2"/>
      <c r="L27" s="2"/>
      <c r="M27" s="5"/>
      <c r="N27" s="5"/>
      <c r="O27" s="5"/>
      <c r="P27" s="4"/>
    </row>
    <row r="28" spans="1:16">
      <c r="A28" s="272" t="s">
        <v>46</v>
      </c>
      <c r="B28" s="541"/>
      <c r="C28" s="521"/>
      <c r="D28" s="537"/>
      <c r="E28" s="353"/>
      <c r="F28" s="523"/>
      <c r="G28" s="2"/>
      <c r="H28" s="2"/>
      <c r="I28" s="2"/>
      <c r="J28" s="2"/>
      <c r="K28" s="2"/>
      <c r="L28" s="2"/>
      <c r="M28" s="2"/>
      <c r="N28" s="9"/>
      <c r="O28" s="5"/>
      <c r="P28" s="4"/>
    </row>
    <row r="29" spans="1:16">
      <c r="A29" s="272" t="s">
        <v>47</v>
      </c>
      <c r="B29" s="49"/>
      <c r="C29" s="521"/>
      <c r="D29" s="537"/>
      <c r="E29" s="540"/>
      <c r="F29" s="523"/>
      <c r="G29" s="2"/>
      <c r="H29" s="2"/>
      <c r="I29" s="2"/>
      <c r="J29" s="2"/>
      <c r="K29" s="2"/>
      <c r="L29" s="2"/>
      <c r="M29" s="2"/>
      <c r="N29" s="4"/>
      <c r="O29" s="4"/>
      <c r="P29" s="2"/>
    </row>
    <row r="30" spans="1:16">
      <c r="A30" s="272" t="s">
        <v>48</v>
      </c>
      <c r="B30" s="49"/>
      <c r="C30" s="521"/>
      <c r="D30" s="537"/>
      <c r="E30" s="540"/>
      <c r="F30" s="523"/>
      <c r="G30" s="2"/>
      <c r="H30" s="2"/>
      <c r="I30" s="2"/>
      <c r="J30" s="2"/>
      <c r="K30" s="2"/>
      <c r="L30" s="2"/>
      <c r="M30" s="2"/>
      <c r="N30" s="4"/>
      <c r="O30" s="4"/>
      <c r="P30" s="2"/>
    </row>
    <row r="31" spans="1:16">
      <c r="A31" s="272" t="s">
        <v>49</v>
      </c>
      <c r="B31" s="509"/>
      <c r="C31" s="521"/>
      <c r="D31" s="537"/>
      <c r="E31" s="540"/>
      <c r="F31" s="523"/>
      <c r="G31" s="2"/>
      <c r="H31" s="2"/>
      <c r="I31" s="2"/>
      <c r="J31" s="2"/>
      <c r="K31" s="2"/>
      <c r="L31" s="2"/>
      <c r="M31" s="5"/>
      <c r="N31" s="5"/>
      <c r="O31" s="5"/>
      <c r="P31" s="4"/>
    </row>
    <row r="32" spans="1:16">
      <c r="A32" s="272" t="s">
        <v>50</v>
      </c>
      <c r="B32" s="509"/>
      <c r="C32" s="521"/>
      <c r="D32" s="537"/>
      <c r="E32" s="540"/>
      <c r="F32" s="523"/>
      <c r="G32" s="2"/>
      <c r="H32" s="2"/>
      <c r="I32" s="2"/>
      <c r="J32" s="2"/>
      <c r="K32" s="2"/>
      <c r="L32" s="2"/>
      <c r="M32" s="2"/>
      <c r="N32" s="2"/>
      <c r="O32" s="2"/>
      <c r="P32" s="4"/>
    </row>
    <row r="33" spans="1:16">
      <c r="A33" s="272" t="s">
        <v>51</v>
      </c>
      <c r="B33" s="509"/>
      <c r="C33" s="521"/>
      <c r="D33" s="537"/>
      <c r="E33" s="540"/>
      <c r="F33" s="523"/>
      <c r="G33" s="2"/>
      <c r="H33" s="2"/>
      <c r="I33" s="2"/>
      <c r="J33" s="2"/>
      <c r="K33" s="2"/>
      <c r="L33" s="2"/>
      <c r="M33" s="2"/>
      <c r="N33" s="2"/>
      <c r="O33" s="2"/>
      <c r="P33" s="4"/>
    </row>
    <row r="34" spans="1:16">
      <c r="A34" s="272" t="s">
        <v>52</v>
      </c>
      <c r="B34" s="511"/>
      <c r="C34" s="521"/>
      <c r="D34" s="537"/>
      <c r="E34" s="540"/>
      <c r="F34" s="523"/>
      <c r="G34" s="2"/>
      <c r="H34" s="2"/>
      <c r="I34" s="2"/>
      <c r="J34" s="2"/>
      <c r="K34" s="2"/>
      <c r="L34" s="2"/>
      <c r="M34" s="2"/>
      <c r="N34" s="2"/>
      <c r="O34" s="2"/>
      <c r="P34" s="2"/>
    </row>
    <row r="35" spans="1:16">
      <c r="A35" s="272" t="s">
        <v>53</v>
      </c>
      <c r="B35" s="511"/>
      <c r="C35" s="521"/>
      <c r="D35" s="537"/>
      <c r="E35" s="540"/>
      <c r="F35" s="523"/>
      <c r="G35" s="2"/>
      <c r="H35" s="2"/>
      <c r="I35" s="2"/>
      <c r="J35" s="2"/>
      <c r="K35" s="2"/>
      <c r="L35" s="2"/>
      <c r="M35" s="2"/>
      <c r="N35" s="2"/>
      <c r="O35" s="2"/>
      <c r="P35" s="2"/>
    </row>
    <row r="36" spans="1:16" ht="17.25">
      <c r="A36" s="272" t="s">
        <v>54</v>
      </c>
      <c r="B36" s="524"/>
      <c r="C36" s="521"/>
      <c r="D36" s="279"/>
      <c r="E36" s="540"/>
      <c r="F36" s="523"/>
      <c r="G36" s="2"/>
      <c r="H36" s="2"/>
      <c r="I36" s="2"/>
      <c r="J36" s="2"/>
      <c r="K36" s="2"/>
      <c r="L36" s="2"/>
      <c r="M36" s="542"/>
      <c r="N36" s="47"/>
      <c r="O36" s="9"/>
      <c r="P36" s="543"/>
    </row>
    <row r="37" spans="1:16" ht="15.75">
      <c r="A37" s="267" t="s">
        <v>55</v>
      </c>
      <c r="B37" s="544"/>
      <c r="C37" s="545"/>
      <c r="D37" s="185">
        <f>SUM(D22:D36)</f>
        <v>0</v>
      </c>
      <c r="E37" s="509"/>
      <c r="F37" s="523"/>
      <c r="G37" s="2"/>
      <c r="H37" s="2"/>
      <c r="I37" s="2"/>
      <c r="J37" s="2"/>
      <c r="K37" s="2"/>
      <c r="L37" s="2"/>
      <c r="M37" s="5"/>
      <c r="N37" s="2"/>
      <c r="O37" s="2"/>
      <c r="P37" s="4"/>
    </row>
    <row r="38" spans="1:16">
      <c r="A38" s="272"/>
      <c r="B38" s="546"/>
      <c r="C38" s="49"/>
      <c r="D38" s="522"/>
      <c r="E38" s="509"/>
      <c r="F38" s="523"/>
      <c r="G38" s="2"/>
      <c r="H38" s="2"/>
      <c r="I38" s="2"/>
      <c r="J38" s="2"/>
      <c r="K38" s="2"/>
      <c r="L38" s="2"/>
      <c r="M38" s="2"/>
      <c r="N38" s="2"/>
      <c r="O38" s="2"/>
      <c r="P38" s="4"/>
    </row>
    <row r="39" spans="1:16">
      <c r="A39" s="269" t="s">
        <v>56</v>
      </c>
      <c r="B39" s="546"/>
      <c r="C39" s="49"/>
      <c r="D39" s="504"/>
      <c r="E39" s="509"/>
      <c r="F39" s="523"/>
      <c r="G39" s="2"/>
      <c r="H39" s="2"/>
      <c r="I39" s="2"/>
      <c r="J39" s="2"/>
      <c r="K39" s="2"/>
      <c r="L39" s="2"/>
      <c r="M39" s="2"/>
      <c r="N39" s="2"/>
      <c r="O39" s="2"/>
      <c r="P39" s="4"/>
    </row>
    <row r="40" spans="1:16">
      <c r="A40" s="272" t="s">
        <v>57</v>
      </c>
      <c r="B40" s="547"/>
      <c r="C40" s="548" t="s">
        <v>58</v>
      </c>
      <c r="D40" s="529">
        <f>'Devel. Bud'!B40*'Cons Int &amp; Neg Arb'!C75</f>
        <v>0</v>
      </c>
      <c r="E40" s="353"/>
      <c r="F40" s="270"/>
      <c r="G40" s="2"/>
      <c r="H40" s="2"/>
      <c r="I40" s="49"/>
      <c r="J40" s="2"/>
      <c r="K40" s="2"/>
      <c r="L40" s="2"/>
      <c r="M40" s="2"/>
      <c r="N40" s="2"/>
      <c r="O40" s="3"/>
      <c r="P40" s="6"/>
    </row>
    <row r="41" spans="1:16">
      <c r="A41" s="272" t="s">
        <v>59</v>
      </c>
      <c r="B41" s="547"/>
      <c r="C41" s="548" t="s">
        <v>60</v>
      </c>
      <c r="D41" s="529">
        <f>B41*'Cons Int &amp; Neg Arb'!C75*'Cons Int &amp; Neg Arb'!C17</f>
        <v>0</v>
      </c>
      <c r="E41" s="549"/>
      <c r="F41" s="271"/>
      <c r="G41" s="2"/>
      <c r="H41" s="2"/>
      <c r="I41" s="2"/>
      <c r="J41" s="2"/>
      <c r="K41" s="2"/>
      <c r="L41" s="2"/>
      <c r="M41" s="46"/>
      <c r="N41" s="47"/>
      <c r="O41" s="9"/>
      <c r="P41" s="4"/>
    </row>
    <row r="42" spans="1:16">
      <c r="A42" s="272" t="s">
        <v>61</v>
      </c>
      <c r="B42" s="547"/>
      <c r="C42" s="548" t="s">
        <v>62</v>
      </c>
      <c r="D42" s="529">
        <f>B42*$D$82</f>
        <v>0</v>
      </c>
      <c r="E42" s="549"/>
      <c r="F42" s="271"/>
      <c r="G42" s="2"/>
      <c r="H42" s="2"/>
      <c r="I42" s="2"/>
      <c r="J42" s="2"/>
      <c r="K42" s="2"/>
      <c r="L42" s="2"/>
      <c r="M42" s="5"/>
      <c r="N42" s="5"/>
      <c r="O42" s="5"/>
      <c r="P42" s="4"/>
    </row>
    <row r="43" spans="1:16">
      <c r="A43" s="272" t="s">
        <v>63</v>
      </c>
      <c r="B43" s="547"/>
      <c r="C43" s="548" t="s">
        <v>62</v>
      </c>
      <c r="D43" s="529">
        <f>B43*$D$82</f>
        <v>0</v>
      </c>
      <c r="E43" s="549"/>
      <c r="F43" s="271"/>
      <c r="G43" s="2"/>
      <c r="H43" s="2"/>
      <c r="I43" s="2"/>
      <c r="J43" s="2"/>
      <c r="K43" s="2"/>
      <c r="L43" s="2"/>
      <c r="M43" s="5"/>
      <c r="N43" s="5"/>
      <c r="O43" s="5"/>
      <c r="P43" s="4"/>
    </row>
    <row r="44" spans="1:16">
      <c r="A44" s="272" t="s">
        <v>64</v>
      </c>
      <c r="B44" s="547"/>
      <c r="C44" s="548" t="s">
        <v>62</v>
      </c>
      <c r="D44" s="529">
        <f>B44*$D$82</f>
        <v>0</v>
      </c>
      <c r="E44" s="353"/>
      <c r="F44" s="523"/>
      <c r="G44" s="2"/>
      <c r="H44" s="2"/>
      <c r="I44" s="2"/>
      <c r="J44" s="2"/>
      <c r="K44" s="2"/>
      <c r="L44" s="2"/>
      <c r="M44" s="2"/>
      <c r="N44" s="9"/>
      <c r="O44" s="5"/>
      <c r="P44" s="4"/>
    </row>
    <row r="45" spans="1:16">
      <c r="A45" s="272" t="s">
        <v>65</v>
      </c>
      <c r="B45" s="511"/>
      <c r="C45" s="521"/>
      <c r="D45" s="537"/>
      <c r="E45" s="353"/>
      <c r="F45" s="523"/>
      <c r="G45" s="2"/>
      <c r="H45" s="2"/>
      <c r="I45" s="2"/>
      <c r="J45" s="2"/>
      <c r="K45" s="2"/>
      <c r="L45" s="2"/>
      <c r="M45" s="2"/>
      <c r="N45" s="9"/>
      <c r="O45" s="5"/>
      <c r="P45" s="4"/>
    </row>
    <row r="46" spans="1:16">
      <c r="A46" s="272" t="s">
        <v>66</v>
      </c>
      <c r="B46" s="511"/>
      <c r="C46" s="521"/>
      <c r="D46" s="550"/>
      <c r="E46" s="509"/>
      <c r="F46" s="523"/>
      <c r="G46" s="2"/>
      <c r="H46" s="2"/>
      <c r="I46" s="2"/>
      <c r="J46" s="2"/>
      <c r="K46" s="2"/>
      <c r="L46" s="2"/>
      <c r="M46" s="2"/>
      <c r="N46" s="2"/>
      <c r="O46" s="2"/>
      <c r="P46" s="2"/>
    </row>
    <row r="47" spans="1:16">
      <c r="A47" s="272" t="s">
        <v>67</v>
      </c>
      <c r="B47" s="511"/>
      <c r="C47" s="521"/>
      <c r="D47" s="551"/>
      <c r="E47" s="552" t="s">
        <v>14</v>
      </c>
      <c r="F47" s="523"/>
      <c r="G47" s="2"/>
      <c r="H47" s="2"/>
      <c r="I47" s="2"/>
      <c r="J47" s="2"/>
      <c r="K47" s="2"/>
      <c r="L47" s="2"/>
      <c r="M47" s="2"/>
      <c r="N47" s="2"/>
      <c r="O47" s="2"/>
      <c r="P47" s="2"/>
    </row>
    <row r="48" spans="1:16" ht="14.25" customHeight="1">
      <c r="A48" s="272" t="s">
        <v>68</v>
      </c>
      <c r="B48" s="511"/>
      <c r="C48" s="521"/>
      <c r="D48" s="551"/>
      <c r="E48" s="552"/>
      <c r="F48" s="523"/>
      <c r="G48" s="2"/>
      <c r="H48" s="2"/>
      <c r="I48" s="2"/>
      <c r="J48" s="2"/>
      <c r="K48" s="2"/>
      <c r="L48" s="2"/>
      <c r="M48" s="2"/>
      <c r="N48" s="2"/>
      <c r="O48" s="2"/>
      <c r="P48" s="2"/>
    </row>
    <row r="49" spans="1:16" ht="17.25">
      <c r="A49" s="272" t="s">
        <v>69</v>
      </c>
      <c r="B49" s="511"/>
      <c r="C49" s="521"/>
      <c r="D49" s="177"/>
      <c r="E49" s="552"/>
      <c r="F49" s="523"/>
      <c r="G49" s="2"/>
      <c r="H49" s="2"/>
      <c r="I49" s="2"/>
      <c r="J49" s="2"/>
      <c r="K49" s="2"/>
      <c r="L49" s="2"/>
      <c r="M49" s="2"/>
      <c r="N49" s="2"/>
      <c r="O49" s="2"/>
      <c r="P49" s="2"/>
    </row>
    <row r="50" spans="1:16" ht="17.25">
      <c r="A50" s="272" t="s">
        <v>54</v>
      </c>
      <c r="B50" s="524"/>
      <c r="C50" s="521"/>
      <c r="D50" s="281"/>
      <c r="E50" s="540"/>
      <c r="F50" s="523"/>
      <c r="G50" s="2"/>
      <c r="H50" s="2"/>
      <c r="I50" s="2"/>
      <c r="J50" s="2"/>
      <c r="K50" s="2"/>
      <c r="L50" s="2"/>
      <c r="M50" s="542"/>
      <c r="N50" s="47"/>
      <c r="O50" s="9"/>
      <c r="P50" s="543"/>
    </row>
    <row r="51" spans="1:16" ht="15.75">
      <c r="A51" s="267" t="s">
        <v>55</v>
      </c>
      <c r="B51" s="544"/>
      <c r="C51" s="545"/>
      <c r="D51" s="55">
        <f>SUM(D40:D50)</f>
        <v>0</v>
      </c>
      <c r="E51" s="509"/>
      <c r="F51" s="523"/>
      <c r="G51" s="2"/>
      <c r="H51" s="2"/>
      <c r="I51" s="2"/>
      <c r="J51" s="2"/>
      <c r="K51" s="2"/>
      <c r="L51" s="2"/>
      <c r="M51" s="2"/>
      <c r="N51" s="2"/>
      <c r="O51" s="2"/>
      <c r="P51" s="2"/>
    </row>
    <row r="52" spans="1:16">
      <c r="A52" s="553"/>
      <c r="B52" s="554"/>
      <c r="C52" s="521"/>
      <c r="D52" s="555"/>
      <c r="E52" s="509"/>
      <c r="F52" s="523"/>
      <c r="G52" s="2"/>
      <c r="H52" s="2"/>
      <c r="I52" s="2"/>
      <c r="J52" s="2"/>
      <c r="K52" s="2"/>
      <c r="L52" s="2"/>
      <c r="M52" s="2"/>
      <c r="N52" s="2"/>
      <c r="O52" s="2"/>
      <c r="P52" s="2"/>
    </row>
    <row r="53" spans="1:16">
      <c r="A53" s="269" t="s">
        <v>70</v>
      </c>
      <c r="B53" s="509"/>
      <c r="C53" s="521"/>
      <c r="D53" s="556"/>
      <c r="E53" s="509"/>
      <c r="F53" s="523"/>
      <c r="G53" s="2"/>
      <c r="H53" s="2"/>
      <c r="I53" s="2"/>
      <c r="J53" s="2"/>
      <c r="K53" s="2"/>
      <c r="L53" s="2"/>
      <c r="M53" s="2"/>
      <c r="N53" s="2"/>
      <c r="O53" s="2"/>
      <c r="P53" s="2"/>
    </row>
    <row r="54" spans="1:16">
      <c r="A54" s="272" t="s">
        <v>71</v>
      </c>
      <c r="B54" s="509"/>
      <c r="C54" s="535"/>
      <c r="D54" s="557" t="e">
        <f ca="1">'Cons Int &amp; Neg Arb'!F43</f>
        <v>#DIV/0!</v>
      </c>
      <c r="E54" s="353" t="s">
        <v>72</v>
      </c>
      <c r="F54" s="523"/>
      <c r="G54" s="2"/>
      <c r="H54" s="2"/>
      <c r="I54" s="2"/>
      <c r="J54" s="2"/>
      <c r="K54" s="2"/>
      <c r="L54" s="2"/>
      <c r="M54" s="542"/>
      <c r="N54" s="2"/>
      <c r="O54" s="2"/>
      <c r="P54" s="2"/>
    </row>
    <row r="55" spans="1:16">
      <c r="A55" s="272" t="s">
        <v>73</v>
      </c>
      <c r="B55" s="509"/>
      <c r="C55" s="535"/>
      <c r="D55" s="355" t="e">
        <f ca="1">'Cons Int &amp; Neg Arb'!H43</f>
        <v>#DIV/0!</v>
      </c>
      <c r="E55" s="353"/>
      <c r="F55" s="523"/>
      <c r="G55" s="2"/>
      <c r="H55" s="2"/>
      <c r="I55" s="2"/>
      <c r="J55" s="2"/>
      <c r="K55" s="2"/>
      <c r="L55" s="2"/>
      <c r="M55" s="542"/>
      <c r="N55" s="2"/>
      <c r="O55" s="2"/>
      <c r="P55" s="2"/>
    </row>
    <row r="56" spans="1:16">
      <c r="A56" s="272" t="s">
        <v>74</v>
      </c>
      <c r="B56" s="509"/>
      <c r="C56" s="521"/>
      <c r="D56" s="355" t="e">
        <f ca="1">'Cons Int &amp; Neg Arb'!B68</f>
        <v>#DIV/0!</v>
      </c>
      <c r="E56" s="353"/>
      <c r="F56" s="558"/>
      <c r="G56" s="2"/>
      <c r="H56" s="2"/>
      <c r="I56" s="2"/>
      <c r="J56" s="2"/>
      <c r="K56" s="2"/>
      <c r="L56" s="2"/>
      <c r="M56" s="2"/>
      <c r="N56" s="2"/>
      <c r="O56" s="2"/>
      <c r="P56" s="2"/>
    </row>
    <row r="57" spans="1:16">
      <c r="A57" s="272" t="s">
        <v>75</v>
      </c>
      <c r="B57" s="511"/>
      <c r="C57" s="2"/>
      <c r="D57" s="559"/>
      <c r="E57" s="353"/>
      <c r="F57" s="523"/>
      <c r="G57" s="2"/>
      <c r="H57" s="2"/>
      <c r="I57" s="2"/>
      <c r="J57" s="2"/>
      <c r="K57" s="2"/>
      <c r="L57" s="2"/>
      <c r="M57" s="2"/>
      <c r="N57" s="2"/>
      <c r="O57" s="2"/>
      <c r="P57" s="2"/>
    </row>
    <row r="58" spans="1:16">
      <c r="A58" s="272" t="s">
        <v>76</v>
      </c>
      <c r="B58" s="509"/>
      <c r="C58" s="2"/>
      <c r="D58" s="560"/>
      <c r="E58" s="509"/>
      <c r="F58" s="523"/>
      <c r="G58" s="2"/>
      <c r="H58" s="2"/>
      <c r="I58" s="2"/>
      <c r="J58" s="2"/>
      <c r="K58" s="2"/>
      <c r="L58" s="2"/>
      <c r="M58" s="2"/>
      <c r="N58" s="2"/>
      <c r="O58" s="2"/>
      <c r="P58" s="2"/>
    </row>
    <row r="59" spans="1:16">
      <c r="A59" s="272" t="s">
        <v>77</v>
      </c>
      <c r="B59" s="509"/>
      <c r="C59" s="2"/>
      <c r="D59" s="560"/>
      <c r="E59" s="509"/>
      <c r="F59" s="523"/>
      <c r="G59" s="2"/>
      <c r="H59" s="2"/>
      <c r="I59" s="2"/>
      <c r="J59" s="2"/>
      <c r="K59" s="2"/>
      <c r="L59" s="2"/>
      <c r="M59" s="2"/>
      <c r="N59" s="2"/>
      <c r="O59" s="2"/>
      <c r="P59" s="2"/>
    </row>
    <row r="60" spans="1:16">
      <c r="A60" s="272" t="s">
        <v>78</v>
      </c>
      <c r="B60" s="561"/>
      <c r="C60" s="2"/>
      <c r="D60" s="559"/>
      <c r="E60" s="562"/>
      <c r="F60" s="523"/>
      <c r="G60" s="2"/>
      <c r="H60" s="2"/>
      <c r="I60" s="2"/>
      <c r="J60" s="2"/>
      <c r="K60" s="2"/>
      <c r="L60" s="2"/>
      <c r="M60" s="2"/>
      <c r="N60" s="2"/>
      <c r="O60" s="2"/>
      <c r="P60" s="4"/>
    </row>
    <row r="61" spans="1:16">
      <c r="A61" s="272" t="s">
        <v>79</v>
      </c>
      <c r="B61" s="2"/>
      <c r="C61" s="2"/>
      <c r="D61" s="560"/>
      <c r="E61" s="2"/>
      <c r="F61" s="523"/>
      <c r="G61" s="2"/>
      <c r="H61" s="2"/>
      <c r="I61" s="2"/>
      <c r="J61" s="2"/>
      <c r="K61" s="2"/>
      <c r="L61" s="2"/>
      <c r="M61" s="2"/>
      <c r="N61" s="2"/>
      <c r="O61" s="2"/>
      <c r="P61" s="4"/>
    </row>
    <row r="62" spans="1:16">
      <c r="A62" s="272" t="s">
        <v>80</v>
      </c>
      <c r="B62" s="527"/>
      <c r="C62" s="563"/>
      <c r="D62" s="559"/>
      <c r="E62" s="509"/>
      <c r="F62" s="523"/>
      <c r="G62" s="2"/>
      <c r="H62" s="2"/>
      <c r="I62" s="2"/>
      <c r="J62" s="2"/>
      <c r="K62" s="2"/>
      <c r="L62" s="2"/>
      <c r="M62" s="2"/>
      <c r="N62" s="2"/>
      <c r="O62" s="2"/>
      <c r="P62" s="2"/>
    </row>
    <row r="63" spans="1:16" ht="15.75">
      <c r="A63" s="272" t="s">
        <v>81</v>
      </c>
      <c r="B63" s="39"/>
      <c r="C63" s="39"/>
      <c r="D63" s="564"/>
      <c r="E63" s="52"/>
      <c r="F63" s="273"/>
      <c r="G63" s="49"/>
      <c r="H63" s="49"/>
      <c r="I63" s="49"/>
      <c r="J63" s="49"/>
      <c r="K63" s="49"/>
      <c r="L63" s="49"/>
      <c r="M63" s="49"/>
      <c r="N63" s="49"/>
      <c r="O63" s="49"/>
      <c r="P63" s="49"/>
    </row>
    <row r="64" spans="1:16" ht="17.25">
      <c r="A64" s="272" t="s">
        <v>54</v>
      </c>
      <c r="B64" s="524"/>
      <c r="C64" s="2"/>
      <c r="D64" s="280"/>
      <c r="E64" s="66"/>
      <c r="F64" s="523"/>
      <c r="G64" s="2"/>
      <c r="H64" s="2"/>
      <c r="I64" s="2"/>
      <c r="J64" s="2"/>
      <c r="K64" s="2"/>
      <c r="L64" s="2"/>
      <c r="M64" s="542"/>
      <c r="N64" s="47"/>
      <c r="O64" s="9"/>
      <c r="P64" s="543"/>
    </row>
    <row r="65" spans="1:16" ht="15.75">
      <c r="A65" s="267" t="s">
        <v>55</v>
      </c>
      <c r="B65" s="39"/>
      <c r="C65" s="39"/>
      <c r="D65" s="283" t="e">
        <f ca="1">SUM(D54:D64)</f>
        <v>#DIV/0!</v>
      </c>
      <c r="E65" s="52"/>
      <c r="F65" s="273"/>
      <c r="G65" s="49"/>
      <c r="H65" s="49"/>
      <c r="I65" s="49"/>
      <c r="J65" s="49"/>
      <c r="K65" s="49"/>
      <c r="L65" s="49"/>
      <c r="M65" s="49"/>
      <c r="N65" s="49"/>
      <c r="O65" s="49"/>
      <c r="P65" s="49"/>
    </row>
    <row r="66" spans="1:16">
      <c r="A66" s="272"/>
      <c r="B66" s="509"/>
      <c r="C66" s="521"/>
      <c r="D66" s="565"/>
      <c r="E66" s="509"/>
      <c r="F66" s="523"/>
      <c r="G66" s="2"/>
      <c r="H66" s="2"/>
      <c r="I66" s="2"/>
      <c r="J66" s="2"/>
      <c r="K66" s="2"/>
      <c r="L66" s="2"/>
      <c r="M66" s="2"/>
      <c r="N66" s="2"/>
      <c r="O66" s="2"/>
      <c r="P66" s="2"/>
    </row>
    <row r="67" spans="1:16">
      <c r="A67" s="269" t="s">
        <v>82</v>
      </c>
      <c r="B67" s="509"/>
      <c r="C67" s="521"/>
      <c r="D67" s="565"/>
      <c r="E67" s="509"/>
      <c r="F67" s="523"/>
      <c r="G67" s="2"/>
      <c r="H67" s="2"/>
      <c r="I67" s="2"/>
      <c r="J67" s="2"/>
      <c r="K67" s="2"/>
      <c r="L67" s="2"/>
      <c r="M67" s="2"/>
      <c r="N67" s="2"/>
      <c r="O67" s="2"/>
      <c r="P67" s="2"/>
    </row>
    <row r="68" spans="1:16">
      <c r="A68" s="272" t="s">
        <v>83</v>
      </c>
      <c r="B68" s="509"/>
      <c r="C68" s="521"/>
      <c r="D68" s="566"/>
      <c r="E68" s="509"/>
      <c r="F68" s="523"/>
      <c r="G68" s="2"/>
      <c r="H68" s="2"/>
      <c r="I68" s="2"/>
      <c r="J68" s="2"/>
      <c r="K68" s="2"/>
      <c r="L68" s="2"/>
      <c r="M68" s="2"/>
      <c r="N68" s="2"/>
      <c r="O68" s="2"/>
      <c r="P68" s="2"/>
    </row>
    <row r="69" spans="1:16">
      <c r="A69" s="272" t="s">
        <v>84</v>
      </c>
      <c r="B69" s="567"/>
      <c r="C69" s="568" t="s">
        <v>85</v>
      </c>
      <c r="D69" s="565">
        <f>B69*'Units &amp; Income'!C24</f>
        <v>0</v>
      </c>
      <c r="E69" s="353"/>
      <c r="F69" s="523"/>
      <c r="G69" s="2"/>
      <c r="H69" s="2"/>
      <c r="I69" s="2"/>
      <c r="J69" s="2"/>
      <c r="K69" s="2"/>
      <c r="L69" s="2"/>
      <c r="M69" s="2"/>
      <c r="N69" s="2"/>
      <c r="O69" s="2"/>
      <c r="P69" s="2"/>
    </row>
    <row r="70" spans="1:16">
      <c r="A70" s="272" t="s">
        <v>86</v>
      </c>
      <c r="B70" s="509"/>
      <c r="C70" s="568"/>
      <c r="D70" s="566"/>
      <c r="E70" s="353"/>
      <c r="F70" s="523"/>
      <c r="G70" s="2"/>
      <c r="H70" s="2"/>
      <c r="I70" s="2"/>
      <c r="J70" s="2"/>
      <c r="K70" s="2"/>
      <c r="L70" s="2"/>
      <c r="M70" s="2"/>
      <c r="N70" s="2"/>
      <c r="O70" s="2"/>
      <c r="P70" s="2"/>
    </row>
    <row r="71" spans="1:16">
      <c r="A71" s="272" t="s">
        <v>87</v>
      </c>
      <c r="B71" s="509"/>
      <c r="C71" s="521"/>
      <c r="D71" s="569"/>
      <c r="E71" s="570" t="e">
        <f ca="1">D71/D74</f>
        <v>#DIV/0!</v>
      </c>
      <c r="F71" s="523" t="s">
        <v>88</v>
      </c>
      <c r="G71" s="2"/>
      <c r="H71" s="2"/>
      <c r="I71" s="2"/>
      <c r="J71" s="2"/>
      <c r="K71" s="2"/>
      <c r="L71" s="2"/>
      <c r="M71" s="2"/>
      <c r="N71" s="2"/>
      <c r="O71" s="2"/>
      <c r="P71" s="2"/>
    </row>
    <row r="72" spans="1:16" ht="15.75">
      <c r="A72" s="274" t="s">
        <v>55</v>
      </c>
      <c r="B72" s="509"/>
      <c r="C72" s="521"/>
      <c r="D72" s="55">
        <f>SUM(D67:D71)</f>
        <v>0</v>
      </c>
      <c r="E72" s="549"/>
      <c r="F72" s="523"/>
      <c r="G72" s="5"/>
      <c r="H72" s="2"/>
      <c r="I72" s="2"/>
      <c r="J72" s="2"/>
      <c r="K72" s="2"/>
      <c r="L72" s="2"/>
      <c r="M72" s="2"/>
      <c r="N72" s="2"/>
      <c r="O72" s="2"/>
      <c r="P72" s="2"/>
    </row>
    <row r="73" spans="1:16">
      <c r="A73" s="272"/>
      <c r="B73" s="509"/>
      <c r="C73" s="521"/>
      <c r="D73" s="522"/>
      <c r="E73" s="549"/>
      <c r="F73" s="523"/>
      <c r="G73" s="5"/>
      <c r="H73" s="2"/>
      <c r="I73" s="2"/>
      <c r="J73" s="2"/>
      <c r="K73" s="2"/>
      <c r="L73" s="2"/>
      <c r="M73" s="2"/>
      <c r="N73" s="2"/>
      <c r="O73" s="2"/>
      <c r="P73" s="2"/>
    </row>
    <row r="74" spans="1:16" ht="15.75">
      <c r="A74" s="269" t="s">
        <v>89</v>
      </c>
      <c r="B74" s="509"/>
      <c r="C74" s="521"/>
      <c r="D74" s="185" t="e">
        <f ca="1">D37+D51+D65+D72</f>
        <v>#DIV/0!</v>
      </c>
      <c r="E74" s="549"/>
      <c r="F74" s="523"/>
      <c r="G74" s="5"/>
      <c r="H74" s="2"/>
      <c r="I74" s="2"/>
      <c r="J74" s="2"/>
      <c r="K74" s="2"/>
      <c r="L74" s="2"/>
      <c r="M74" s="2"/>
      <c r="N74" s="2"/>
      <c r="O74" s="2"/>
      <c r="P74" s="2"/>
    </row>
    <row r="75" spans="1:16">
      <c r="A75" s="272"/>
      <c r="B75" s="509"/>
      <c r="C75" s="521"/>
      <c r="D75" s="522"/>
      <c r="E75" s="571"/>
      <c r="F75" s="275"/>
      <c r="G75" s="2"/>
      <c r="H75" s="2"/>
      <c r="I75" s="2"/>
      <c r="J75" s="2"/>
      <c r="K75" s="2"/>
      <c r="L75" s="2"/>
      <c r="M75" s="2"/>
      <c r="N75" s="2"/>
      <c r="O75" s="2"/>
      <c r="P75" s="2"/>
    </row>
    <row r="76" spans="1:16" ht="15.75">
      <c r="A76" s="269" t="s">
        <v>90</v>
      </c>
      <c r="B76" s="572"/>
      <c r="C76" s="573"/>
      <c r="D76" s="178"/>
      <c r="E76" s="574" t="e">
        <f ca="1">D76/(D79-D76)</f>
        <v>#DIV/0!</v>
      </c>
      <c r="F76" s="276" t="s">
        <v>91</v>
      </c>
      <c r="G76" s="2"/>
      <c r="H76" s="49"/>
      <c r="I76" s="49"/>
      <c r="J76" s="49"/>
      <c r="K76" s="49"/>
      <c r="L76" s="49"/>
      <c r="M76" s="49"/>
      <c r="N76" s="49"/>
      <c r="O76" s="49"/>
      <c r="P76" s="49"/>
    </row>
    <row r="77" spans="1:16">
      <c r="A77" s="272"/>
      <c r="B77" s="509"/>
      <c r="C77" s="521"/>
      <c r="D77" s="522"/>
      <c r="E77" s="509"/>
      <c r="F77" s="523"/>
      <c r="G77" s="49"/>
      <c r="H77" s="49"/>
      <c r="I77" s="49"/>
      <c r="J77" s="49"/>
      <c r="K77" s="49"/>
      <c r="L77" s="49"/>
      <c r="M77" s="49"/>
      <c r="N77" s="49"/>
      <c r="O77" s="49"/>
      <c r="P77" s="49"/>
    </row>
    <row r="78" spans="1:16">
      <c r="A78" s="272"/>
      <c r="B78" s="509"/>
      <c r="C78" s="521"/>
      <c r="D78" s="522"/>
      <c r="E78" s="509"/>
      <c r="F78" s="523"/>
      <c r="G78" s="49"/>
      <c r="H78" s="49"/>
      <c r="I78" s="49"/>
      <c r="J78" s="575"/>
      <c r="K78" s="49"/>
      <c r="L78" s="49"/>
      <c r="M78" s="49"/>
      <c r="N78" s="49"/>
      <c r="O78" s="49"/>
      <c r="P78" s="49"/>
    </row>
    <row r="79" spans="1:16" ht="15.75">
      <c r="A79" s="277" t="s">
        <v>92</v>
      </c>
      <c r="B79" s="576"/>
      <c r="C79" s="577"/>
      <c r="D79" s="278" t="e">
        <f ca="1">D7+D17+D74+D76</f>
        <v>#DIV/0!</v>
      </c>
      <c r="E79" s="578"/>
      <c r="F79" s="579"/>
      <c r="G79" s="49"/>
      <c r="H79" s="49"/>
      <c r="I79" s="49"/>
      <c r="J79" s="49"/>
      <c r="K79" s="49"/>
      <c r="L79" s="49"/>
      <c r="M79" s="49"/>
      <c r="N79" s="49"/>
      <c r="O79" s="49"/>
      <c r="P79" s="49"/>
    </row>
    <row r="80" spans="1:16" ht="12.75" customHeight="1">
      <c r="A80" s="2"/>
      <c r="B80" s="2"/>
      <c r="C80" s="2"/>
      <c r="D80" s="529"/>
      <c r="E80" s="49"/>
      <c r="F80" s="5"/>
      <c r="G80" s="49"/>
      <c r="H80" s="49"/>
      <c r="I80" s="49"/>
      <c r="J80" s="49"/>
      <c r="K80" s="49"/>
      <c r="L80" s="49"/>
      <c r="M80" s="49"/>
      <c r="N80" s="49"/>
      <c r="O80" s="49"/>
      <c r="P80" s="49"/>
    </row>
    <row r="81" spans="1:8" ht="15.75">
      <c r="A81" s="60" t="s">
        <v>11</v>
      </c>
      <c r="B81" s="2"/>
      <c r="C81" s="196"/>
      <c r="D81" s="504"/>
      <c r="E81" s="580"/>
      <c r="F81" s="27"/>
      <c r="G81" s="2"/>
      <c r="H81" s="49"/>
    </row>
    <row r="82" spans="1:8">
      <c r="A82" s="581" t="str">
        <f t="shared" ref="A82:A86" si="0">A96</f>
        <v>First Mortgage (Lender:                                )</v>
      </c>
      <c r="B82" s="582"/>
      <c r="C82" s="583"/>
      <c r="D82" s="584"/>
      <c r="E82" s="585" t="e">
        <f ca="1">D82/$D$79</f>
        <v>#DIV/0!</v>
      </c>
      <c r="F82" s="49"/>
      <c r="G82" s="49"/>
      <c r="H82" s="49"/>
    </row>
    <row r="83" spans="1:8">
      <c r="A83" s="413" t="str">
        <f t="shared" si="0"/>
        <v>Second Mortgage (Lender:                                )</v>
      </c>
      <c r="B83" s="586"/>
      <c r="C83" s="563"/>
      <c r="D83" s="587">
        <f>D97</f>
        <v>0</v>
      </c>
      <c r="E83" s="588" t="e">
        <f t="shared" ref="E83:E91" ca="1" si="1">D83/$D$79</f>
        <v>#DIV/0!</v>
      </c>
      <c r="F83" s="5"/>
      <c r="G83" s="49"/>
      <c r="H83" s="49"/>
    </row>
    <row r="84" spans="1:8">
      <c r="A84" s="413" t="str">
        <f t="shared" si="0"/>
        <v>Third Mortgage (Lender:                                )</v>
      </c>
      <c r="B84" s="589"/>
      <c r="C84" s="590"/>
      <c r="D84" s="587">
        <f>D98</f>
        <v>0</v>
      </c>
      <c r="E84" s="588" t="e">
        <f t="shared" ca="1" si="1"/>
        <v>#DIV/0!</v>
      </c>
      <c r="F84" s="49"/>
      <c r="G84" s="49"/>
      <c r="H84" s="575"/>
    </row>
    <row r="85" spans="1:8">
      <c r="A85" s="413" t="str">
        <f t="shared" si="0"/>
        <v>Fourth Mortgage (Lender:                                )</v>
      </c>
      <c r="B85" s="589"/>
      <c r="C85" s="590"/>
      <c r="D85" s="587">
        <f>D99</f>
        <v>0</v>
      </c>
      <c r="E85" s="588" t="e">
        <f t="shared" ca="1" si="1"/>
        <v>#DIV/0!</v>
      </c>
      <c r="F85" s="49"/>
      <c r="G85" s="49"/>
      <c r="H85" s="575"/>
    </row>
    <row r="86" spans="1:8">
      <c r="A86" s="413" t="str">
        <f t="shared" si="0"/>
        <v>LIHTC Equity</v>
      </c>
      <c r="B86" s="589"/>
      <c r="C86" s="590"/>
      <c r="D86" s="591"/>
      <c r="E86" s="588" t="e">
        <f t="shared" ca="1" si="1"/>
        <v>#DIV/0!</v>
      </c>
      <c r="F86" s="49"/>
      <c r="G86" s="2"/>
      <c r="H86" s="575"/>
    </row>
    <row r="87" spans="1:8">
      <c r="A87" s="413" t="s">
        <v>93</v>
      </c>
      <c r="B87" s="589"/>
      <c r="C87" s="590"/>
      <c r="D87" s="592">
        <f>SUM(D69:D70)</f>
        <v>0</v>
      </c>
      <c r="E87" s="588" t="e">
        <f t="shared" ca="1" si="1"/>
        <v>#DIV/0!</v>
      </c>
      <c r="F87" s="49"/>
      <c r="G87" s="2"/>
      <c r="H87" s="575"/>
    </row>
    <row r="88" spans="1:8">
      <c r="A88" s="413" t="s">
        <v>94</v>
      </c>
      <c r="B88" s="589"/>
      <c r="C88" s="590"/>
      <c r="D88" s="592" t="e">
        <f ca="1">D55</f>
        <v>#DIV/0!</v>
      </c>
      <c r="E88" s="588" t="e">
        <f t="shared" ca="1" si="1"/>
        <v>#DIV/0!</v>
      </c>
      <c r="F88" s="49"/>
      <c r="G88" s="2"/>
      <c r="H88" s="575"/>
    </row>
    <row r="89" spans="1:8">
      <c r="A89" s="413" t="str">
        <f>A103</f>
        <v>Deferred Developer's Fee</v>
      </c>
      <c r="B89" s="589"/>
      <c r="C89" s="590"/>
      <c r="D89" s="593"/>
      <c r="E89" s="588" t="e">
        <f t="shared" ca="1" si="1"/>
        <v>#DIV/0!</v>
      </c>
      <c r="F89" s="49"/>
      <c r="G89" s="2"/>
      <c r="H89" s="575"/>
    </row>
    <row r="90" spans="1:8">
      <c r="A90" s="413" t="str">
        <f>A104</f>
        <v>Developer Equity</v>
      </c>
      <c r="B90" s="589"/>
      <c r="C90" s="590"/>
      <c r="D90" s="591"/>
      <c r="E90" s="588" t="e">
        <f ca="1">D90/$D$79</f>
        <v>#DIV/0!</v>
      </c>
      <c r="F90" s="49"/>
      <c r="G90" s="2"/>
      <c r="H90" s="575"/>
    </row>
    <row r="91" spans="1:8">
      <c r="A91" s="413" t="str">
        <f>A105</f>
        <v>Other source (Specify:                                )</v>
      </c>
      <c r="B91" s="589"/>
      <c r="C91" s="590"/>
      <c r="D91" s="593"/>
      <c r="E91" s="588" t="e">
        <f t="shared" ca="1" si="1"/>
        <v>#DIV/0!</v>
      </c>
      <c r="F91" s="49"/>
      <c r="G91" s="2"/>
      <c r="H91" s="575"/>
    </row>
    <row r="92" spans="1:8">
      <c r="A92" s="419" t="s">
        <v>95</v>
      </c>
      <c r="B92" s="594"/>
      <c r="C92" s="595"/>
      <c r="D92" s="596" t="e">
        <f ca="1">D79-SUM(D82:D91)</f>
        <v>#DIV/0!</v>
      </c>
      <c r="E92" s="597" t="e">
        <f ca="1">D92/$D$79</f>
        <v>#DIV/0!</v>
      </c>
      <c r="F92" s="49"/>
      <c r="G92" s="2"/>
      <c r="H92" s="575"/>
    </row>
    <row r="93" spans="1:8" ht="15.75">
      <c r="A93" s="414" t="s">
        <v>96</v>
      </c>
      <c r="B93" s="594"/>
      <c r="C93" s="595"/>
      <c r="D93" s="415" t="e">
        <f ca="1">SUM(D82:D91)</f>
        <v>#DIV/0!</v>
      </c>
      <c r="E93" s="416" t="e">
        <f ca="1">SUM(E82:E91)</f>
        <v>#DIV/0!</v>
      </c>
      <c r="F93" s="49"/>
      <c r="G93" s="2"/>
      <c r="H93" s="575"/>
    </row>
    <row r="94" spans="1:8">
      <c r="A94" s="49"/>
      <c r="B94" s="49"/>
      <c r="C94" s="575"/>
      <c r="D94" s="529" t="s">
        <v>14</v>
      </c>
      <c r="E94" s="49"/>
      <c r="F94"/>
      <c r="G94" s="2"/>
      <c r="H94" s="49"/>
    </row>
    <row r="95" spans="1:8" ht="15.75">
      <c r="A95" s="60" t="s">
        <v>16</v>
      </c>
      <c r="B95" s="2"/>
      <c r="C95" s="196"/>
      <c r="D95" s="504"/>
      <c r="E95" s="5"/>
      <c r="F95" s="5"/>
      <c r="G95" s="2"/>
      <c r="H95" s="49"/>
    </row>
    <row r="96" spans="1:8">
      <c r="A96" s="581" t="s">
        <v>97</v>
      </c>
      <c r="B96" s="582"/>
      <c r="C96" s="583"/>
      <c r="D96" s="598" t="e">
        <f ca="1">FIRST</f>
        <v>#DIV/0!</v>
      </c>
      <c r="E96" s="585" t="e">
        <f ca="1">D96/$D$79</f>
        <v>#DIV/0!</v>
      </c>
      <c r="F96" s="5"/>
      <c r="G96" s="2"/>
      <c r="H96" s="49"/>
    </row>
    <row r="97" spans="1:8">
      <c r="A97" s="413" t="s">
        <v>98</v>
      </c>
      <c r="B97" s="586"/>
      <c r="C97" s="563"/>
      <c r="D97" s="599">
        <f>Mort!I31</f>
        <v>0</v>
      </c>
      <c r="E97" s="588" t="e">
        <f t="shared" ref="E97:E105" ca="1" si="2">D97/$D$79</f>
        <v>#DIV/0!</v>
      </c>
      <c r="F97" s="2"/>
      <c r="G97" s="10"/>
      <c r="H97" s="10"/>
    </row>
    <row r="98" spans="1:8">
      <c r="A98" s="413" t="s">
        <v>99</v>
      </c>
      <c r="B98" s="586"/>
      <c r="C98" s="563"/>
      <c r="D98" s="599">
        <f>Mort!J31</f>
        <v>0</v>
      </c>
      <c r="E98" s="588" t="e">
        <f t="shared" ca="1" si="2"/>
        <v>#DIV/0!</v>
      </c>
      <c r="F98" s="504"/>
      <c r="G98" s="10"/>
      <c r="H98" s="600"/>
    </row>
    <row r="99" spans="1:8">
      <c r="A99" s="413" t="s">
        <v>100</v>
      </c>
      <c r="B99" s="586"/>
      <c r="C99" s="563"/>
      <c r="D99" s="599">
        <f>Mort!K31</f>
        <v>0</v>
      </c>
      <c r="E99" s="588" t="e">
        <f t="shared" ca="1" si="2"/>
        <v>#DIV/0!</v>
      </c>
      <c r="F99" s="2"/>
      <c r="G99" s="28"/>
      <c r="H99" s="600"/>
    </row>
    <row r="100" spans="1:8" ht="15.75">
      <c r="A100" s="413" t="s">
        <v>101</v>
      </c>
      <c r="B100" s="586"/>
      <c r="C100" s="563"/>
      <c r="D100" s="591"/>
      <c r="E100" s="588" t="e">
        <f t="shared" ca="1" si="2"/>
        <v>#DIV/0!</v>
      </c>
      <c r="F100" s="7"/>
      <c r="G100" s="78"/>
      <c r="H100" s="600"/>
    </row>
    <row r="101" spans="1:8" ht="15.75">
      <c r="A101" s="413" t="s">
        <v>93</v>
      </c>
      <c r="B101" s="586"/>
      <c r="C101" s="563"/>
      <c r="D101" s="592">
        <v>0</v>
      </c>
      <c r="E101" s="588" t="e">
        <f t="shared" ca="1" si="2"/>
        <v>#DIV/0!</v>
      </c>
      <c r="F101" s="7"/>
      <c r="G101" s="78"/>
      <c r="H101" s="600"/>
    </row>
    <row r="102" spans="1:8" ht="15.75">
      <c r="A102" s="413" t="s">
        <v>94</v>
      </c>
      <c r="B102" s="586"/>
      <c r="C102" s="563"/>
      <c r="D102" s="592" t="e">
        <f ca="1">D88</f>
        <v>#DIV/0!</v>
      </c>
      <c r="E102" s="588" t="e">
        <f t="shared" ca="1" si="2"/>
        <v>#DIV/0!</v>
      </c>
      <c r="F102" s="7"/>
      <c r="G102" s="78"/>
      <c r="H102" s="600"/>
    </row>
    <row r="103" spans="1:8" ht="15.75">
      <c r="A103" s="413" t="s">
        <v>102</v>
      </c>
      <c r="B103" s="586"/>
      <c r="C103" s="563"/>
      <c r="D103" s="593">
        <f>'Cash Flow'!C29</f>
        <v>0</v>
      </c>
      <c r="E103" s="588" t="e">
        <f t="shared" ca="1" si="2"/>
        <v>#DIV/0!</v>
      </c>
      <c r="F103" s="7"/>
      <c r="G103" s="78"/>
      <c r="H103" s="600"/>
    </row>
    <row r="104" spans="1:8" ht="15.75">
      <c r="A104" s="413" t="s">
        <v>103</v>
      </c>
      <c r="B104" s="586"/>
      <c r="C104" s="563"/>
      <c r="D104" s="591"/>
      <c r="E104" s="588" t="e">
        <f ca="1">D104/$D$79</f>
        <v>#DIV/0!</v>
      </c>
      <c r="F104" s="7"/>
      <c r="G104" s="78"/>
      <c r="H104" s="600"/>
    </row>
    <row r="105" spans="1:8" ht="15" customHeight="1">
      <c r="A105" s="413" t="s">
        <v>104</v>
      </c>
      <c r="B105" s="586"/>
      <c r="C105" s="563"/>
      <c r="D105" s="593"/>
      <c r="E105" s="588" t="e">
        <f t="shared" ca="1" si="2"/>
        <v>#DIV/0!</v>
      </c>
      <c r="F105" s="5"/>
      <c r="G105" s="2"/>
      <c r="H105" s="49"/>
    </row>
    <row r="106" spans="1:8" ht="15.75">
      <c r="A106" s="419" t="s">
        <v>95</v>
      </c>
      <c r="B106" s="601"/>
      <c r="C106" s="602"/>
      <c r="D106" s="596" t="e">
        <f ca="1">D79-SUM(D96:D105)</f>
        <v>#DIV/0!</v>
      </c>
      <c r="E106" s="597" t="e">
        <f ca="1">D106/$D$79</f>
        <v>#DIV/0!</v>
      </c>
      <c r="F106" s="7"/>
      <c r="G106" s="78"/>
      <c r="H106" s="600"/>
    </row>
    <row r="107" spans="1:8" ht="15.75">
      <c r="A107" s="414" t="str">
        <f>A93</f>
        <v>Total</v>
      </c>
      <c r="B107" s="417"/>
      <c r="C107" s="602"/>
      <c r="D107" s="418" t="e">
        <f ca="1">SUM(D96:D105)</f>
        <v>#DIV/0!</v>
      </c>
      <c r="E107" s="416" t="e">
        <f ca="1">SUM(E96:E105)</f>
        <v>#DIV/0!</v>
      </c>
      <c r="F107" s="5"/>
      <c r="G107" s="49"/>
      <c r="H107" s="49"/>
    </row>
    <row r="108" spans="1:8" ht="15.75">
      <c r="A108" s="2"/>
      <c r="B108" s="36"/>
      <c r="C108" s="62"/>
      <c r="D108" s="57"/>
      <c r="E108" s="9"/>
      <c r="F108" s="7"/>
      <c r="G108" s="2"/>
      <c r="H108" s="49"/>
    </row>
    <row r="109" spans="1:8">
      <c r="A109" s="2"/>
      <c r="B109" s="2"/>
      <c r="C109" s="196"/>
      <c r="D109" s="504"/>
      <c r="E109" s="9"/>
      <c r="F109" s="5"/>
      <c r="G109" s="49"/>
      <c r="H109" s="49"/>
    </row>
    <row r="110" spans="1:8">
      <c r="A110" s="2"/>
      <c r="B110" s="2"/>
      <c r="C110" s="196"/>
      <c r="D110" s="504"/>
      <c r="E110" s="5"/>
      <c r="F110" s="5"/>
      <c r="G110" s="49"/>
      <c r="H110" s="49"/>
    </row>
    <row r="111" spans="1:8">
      <c r="A111" s="10"/>
      <c r="B111" s="10"/>
      <c r="C111" s="63"/>
      <c r="D111" s="56"/>
      <c r="E111" s="2"/>
      <c r="F111" s="79"/>
      <c r="G111" s="49"/>
      <c r="H111" s="49"/>
    </row>
    <row r="112" spans="1:8">
      <c r="A112" s="15"/>
      <c r="B112" s="12"/>
      <c r="C112" s="575"/>
      <c r="D112" s="517"/>
      <c r="E112" s="49"/>
      <c r="F112" s="49"/>
      <c r="G112" s="49"/>
      <c r="H112" s="49"/>
    </row>
    <row r="113" spans="3:3">
      <c r="C113" s="575"/>
    </row>
    <row r="114" spans="3:3">
      <c r="C114" s="575"/>
    </row>
    <row r="115" spans="3:3">
      <c r="C115" s="575"/>
    </row>
    <row r="116" spans="3:3">
      <c r="C116" s="575"/>
    </row>
  </sheetData>
  <customSheetViews>
    <customSheetView guid="{25C4E7E7-1006-4A2D-BC83-AEE4ADF8A914}" scale="70" colorId="22" showPageBreaks="1" fitToPage="1" printArea="1" hiddenRows="1" showRuler="0" topLeftCell="A31">
      <selection activeCell="A42" sqref="A42"/>
      <pageMargins left="0" right="0" top="0" bottom="0" header="0" footer="0"/>
      <pageSetup scale="49" orientation="portrait" r:id="rId1"/>
      <headerFooter alignWithMargins="0"/>
    </customSheetView>
    <customSheetView guid="{28F81D13-D146-4D67-8981-BA5D7A496326}" scale="75" colorId="22" showPageBreaks="1" fitToPage="1" printArea="1" showRuler="0" topLeftCell="C1">
      <selection activeCell="G77" sqref="A1:G77"/>
      <pageMargins left="0" right="0" top="0" bottom="0" header="0" footer="0"/>
      <pageSetup scale="61" orientation="portrait" r:id="rId2"/>
      <headerFooter alignWithMargins="0"/>
    </customSheetView>
    <customSheetView guid="{AEA5979F-5357-4ED6-A6CA-1BB80F5C7A74}" scale="75" colorId="22" showPageBreaks="1" fitToPage="1" printArea="1" showRuler="0" topLeftCell="A49">
      <selection activeCell="C83" sqref="C83"/>
      <pageMargins left="0" right="0" top="0" bottom="0" header="0" footer="0"/>
      <pageSetup scale="61" orientation="portrait" r:id="rId3"/>
      <headerFooter alignWithMargins="0"/>
    </customSheetView>
    <customSheetView guid="{EB776EFC-3589-4DB5-BEAF-1E83D9703F9E}" scale="75" colorId="22" fitToPage="1" hiddenColumns="1" showRuler="0" topLeftCell="A52">
      <selection activeCell="F56" sqref="F56"/>
      <pageMargins left="0" right="0" top="0" bottom="0" header="0" footer="0"/>
      <pageSetup scale="63" orientation="portrait" r:id="rId4"/>
      <headerFooter alignWithMargins="0"/>
    </customSheetView>
    <customSheetView guid="{FBB4BF8E-8A9F-4E98-A6F9-5F9BF4C55C67}" scale="75" colorId="22" showPageBreaks="1" fitToPage="1" printArea="1" hiddenColumns="1" showRuler="0" topLeftCell="B49">
      <selection activeCell="F54" sqref="F54"/>
      <pageMargins left="0" right="0" top="0" bottom="0" header="0" footer="0"/>
      <pageSetup scale="64" orientation="portrait" r:id="rId5"/>
      <headerFooter alignWithMargins="0"/>
    </customSheetView>
    <customSheetView guid="{6EF643BE-69F3-424E-8A44-3890161370D4}" scale="75" colorId="22" showPageBreaks="1" fitToPage="1" printArea="1" showRuler="0">
      <selection activeCell="E77" sqref="E77"/>
      <pageMargins left="0" right="0" top="0" bottom="0" header="0" footer="0"/>
      <pageSetup scale="67" orientation="portrait" r:id="rId6"/>
      <headerFooter alignWithMargins="0"/>
    </customSheetView>
    <customSheetView guid="{1ECE83C7-A3CE-4F97-BFD3-498FF783C0D9}" scale="70" colorId="22" showPageBreaks="1" fitToPage="1" printArea="1" showRuler="0" topLeftCell="A34">
      <selection activeCell="A60" sqref="A60"/>
      <pageMargins left="0" right="0" top="0" bottom="0" header="0" footer="0"/>
      <pageSetup scale="53" orientation="portrait" r:id="rId7"/>
      <headerFooter alignWithMargins="0"/>
    </customSheetView>
    <customSheetView guid="{560D4AFA-61E5-46C3-B0CD-D0EB3053A033}" scale="70" colorId="22" showPageBreaks="1" fitToPage="1" printArea="1" hiddenRows="1" showRuler="0">
      <selection activeCell="I23" sqref="I23"/>
      <pageMargins left="0" right="0" top="0" bottom="0" header="0" footer="0"/>
      <pageSetup scale="49" orientation="portrait" r:id="rId8"/>
      <headerFooter alignWithMargins="0"/>
    </customSheetView>
  </customSheetViews>
  <phoneticPr fontId="0" type="noConversion"/>
  <pageMargins left="0.75" right="0.5" top="0.75" bottom="0.5" header="0.5" footer="0.5"/>
  <pageSetup scale="46" firstPageNumber="207" orientation="portrait" useFirstPageNumber="1" r:id="rId9"/>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97"/>
  <sheetViews>
    <sheetView workbookViewId="0"/>
  </sheetViews>
  <sheetFormatPr defaultColWidth="8.88671875" defaultRowHeight="15"/>
  <cols>
    <col min="1" max="1" width="27.109375" style="24" bestFit="1" customWidth="1"/>
    <col min="2" max="2" width="15" style="24" customWidth="1"/>
    <col min="3" max="3" width="14.6640625" style="24" customWidth="1"/>
    <col min="4" max="5" width="15.109375" style="24" customWidth="1"/>
    <col min="6" max="6" width="15.88671875" style="24" customWidth="1"/>
    <col min="7" max="7" width="14.88671875" style="24" customWidth="1"/>
    <col min="8" max="8" width="16.33203125" style="24" customWidth="1"/>
    <col min="9" max="9" width="11.33203125" style="24" customWidth="1"/>
    <col min="10" max="16384" width="8.88671875" style="24"/>
  </cols>
  <sheetData>
    <row r="1" spans="1:6" ht="15.75">
      <c r="A1" s="1" t="str">
        <f>'Devel. Bud'!A1</f>
        <v xml:space="preserve">Project Name: </v>
      </c>
      <c r="B1" s="49"/>
      <c r="C1" s="49"/>
      <c r="D1" s="49"/>
      <c r="E1" s="41"/>
      <c r="F1" s="41"/>
    </row>
    <row r="2" spans="1:6" ht="15.75">
      <c r="A2" s="1" t="str">
        <f>'Devel. Bud'!A2</f>
        <v>Development Team:</v>
      </c>
      <c r="B2" s="49"/>
      <c r="C2" s="49"/>
      <c r="D2" s="49"/>
      <c r="E2" s="41"/>
      <c r="F2" s="41"/>
    </row>
    <row r="3" spans="1:6" ht="15.75">
      <c r="A3" s="1" t="str">
        <f>'Devel. Bud'!A3</f>
        <v>Site:</v>
      </c>
      <c r="B3" s="49"/>
      <c r="C3" s="49"/>
      <c r="D3" s="49"/>
      <c r="E3" s="41" t="str">
        <f>'Sources and Use'!C3</f>
        <v>Units:</v>
      </c>
      <c r="F3" s="41">
        <f>'Units &amp; Income'!C24</f>
        <v>0</v>
      </c>
    </row>
    <row r="4" spans="1:6" ht="15.75">
      <c r="A4" s="18"/>
      <c r="B4" s="49"/>
      <c r="C4" s="49"/>
      <c r="D4" s="49"/>
      <c r="E4" s="355"/>
      <c r="F4" s="49"/>
    </row>
    <row r="5" spans="1:6" ht="15.75">
      <c r="A5" s="18" t="s">
        <v>105</v>
      </c>
      <c r="B5" s="49"/>
      <c r="C5" s="49"/>
      <c r="D5" s="49"/>
      <c r="E5" s="355"/>
      <c r="F5" s="49"/>
    </row>
    <row r="6" spans="1:6" ht="15.75">
      <c r="A6" s="18"/>
      <c r="B6" s="49"/>
      <c r="C6" s="49"/>
      <c r="D6" s="49"/>
      <c r="E6" s="355"/>
      <c r="F6" s="49"/>
    </row>
    <row r="7" spans="1:6" ht="15.75">
      <c r="A7" s="18"/>
      <c r="B7" s="49"/>
      <c r="C7" s="49"/>
      <c r="D7" s="49"/>
      <c r="E7" s="355"/>
      <c r="F7" s="49"/>
    </row>
    <row r="8" spans="1:6" ht="15.75">
      <c r="A8" s="18" t="s">
        <v>106</v>
      </c>
      <c r="B8" s="354"/>
      <c r="C8" s="354" t="s">
        <v>107</v>
      </c>
      <c r="D8" s="49"/>
      <c r="E8" s="49"/>
      <c r="F8" s="49"/>
    </row>
    <row r="9" spans="1:6">
      <c r="A9" s="354" t="s">
        <v>108</v>
      </c>
      <c r="B9" s="529" t="e">
        <f ca="1">'Devel. Bud'!D96</f>
        <v>#DIV/0!</v>
      </c>
      <c r="C9" s="603" t="e">
        <f ca="1">B9/B11</f>
        <v>#DIV/0!</v>
      </c>
      <c r="D9" s="49"/>
      <c r="E9" s="49"/>
      <c r="F9" s="49"/>
    </row>
    <row r="10" spans="1:6">
      <c r="A10" s="354" t="s">
        <v>109</v>
      </c>
      <c r="B10" s="355" t="e">
        <f ca="1">B11-B9</f>
        <v>#DIV/0!</v>
      </c>
      <c r="C10" s="603" t="e">
        <f ca="1">B10/B11</f>
        <v>#DIV/0!</v>
      </c>
      <c r="D10" s="49"/>
      <c r="E10" s="49"/>
      <c r="F10" s="49"/>
    </row>
    <row r="11" spans="1:6" ht="15.75">
      <c r="A11" s="354" t="s">
        <v>110</v>
      </c>
      <c r="B11" s="81">
        <f>'Devel. Bud'!D82</f>
        <v>0</v>
      </c>
      <c r="C11" s="49"/>
      <c r="D11" s="49"/>
      <c r="E11" s="49"/>
      <c r="F11" s="49"/>
    </row>
    <row r="12" spans="1:6" ht="15.75">
      <c r="A12" s="39"/>
      <c r="B12" s="49"/>
      <c r="C12" s="49"/>
      <c r="D12" s="49"/>
      <c r="E12" s="49"/>
      <c r="F12" s="49"/>
    </row>
    <row r="13" spans="1:6" ht="15.75">
      <c r="A13" s="39"/>
      <c r="B13" s="49"/>
      <c r="C13" s="49"/>
      <c r="D13" s="49"/>
      <c r="E13" s="49"/>
      <c r="F13" s="49"/>
    </row>
    <row r="14" spans="1:6" ht="15.75">
      <c r="A14" s="41" t="s">
        <v>111</v>
      </c>
      <c r="B14" s="354" t="s">
        <v>112</v>
      </c>
      <c r="C14" s="354" t="s">
        <v>113</v>
      </c>
      <c r="D14" s="49"/>
      <c r="E14" s="49"/>
      <c r="F14" s="49"/>
    </row>
    <row r="15" spans="1:6">
      <c r="A15" s="354" t="s">
        <v>114</v>
      </c>
      <c r="B15" s="604"/>
      <c r="C15" s="605">
        <f>B15/12</f>
        <v>0</v>
      </c>
      <c r="D15" s="49"/>
      <c r="E15" s="355"/>
      <c r="F15" s="49"/>
    </row>
    <row r="16" spans="1:6">
      <c r="A16" s="354" t="s">
        <v>115</v>
      </c>
      <c r="B16" s="604"/>
      <c r="C16" s="605">
        <f>B16/12</f>
        <v>0</v>
      </c>
      <c r="D16" s="49"/>
      <c r="E16" s="355"/>
      <c r="F16" s="49"/>
    </row>
    <row r="17" spans="1:8">
      <c r="A17" s="354" t="s">
        <v>116</v>
      </c>
      <c r="B17" s="49">
        <f>B15+B16</f>
        <v>0</v>
      </c>
      <c r="C17" s="605">
        <f>B17/12</f>
        <v>0</v>
      </c>
      <c r="D17" s="49"/>
      <c r="E17" s="355"/>
      <c r="F17" s="49"/>
      <c r="G17" s="49"/>
      <c r="H17" s="49"/>
    </row>
    <row r="18" spans="1:8">
      <c r="A18" s="354"/>
      <c r="B18" s="49"/>
      <c r="C18" s="49"/>
      <c r="D18" s="49"/>
      <c r="E18" s="355"/>
      <c r="F18" s="49"/>
      <c r="G18" s="49"/>
      <c r="H18" s="49"/>
    </row>
    <row r="19" spans="1:8">
      <c r="A19" s="354"/>
      <c r="B19" s="49"/>
      <c r="C19" s="49"/>
      <c r="D19" s="49"/>
      <c r="E19" s="355"/>
      <c r="F19" s="49"/>
      <c r="G19" s="49"/>
      <c r="H19" s="49"/>
    </row>
    <row r="20" spans="1:8" ht="15.75">
      <c r="A20" s="41" t="s">
        <v>117</v>
      </c>
      <c r="B20" s="49" t="s">
        <v>118</v>
      </c>
      <c r="C20" s="49" t="s">
        <v>119</v>
      </c>
      <c r="D20" s="49" t="s">
        <v>96</v>
      </c>
      <c r="E20" s="606"/>
      <c r="F20" s="606"/>
      <c r="G20" s="607" t="s">
        <v>120</v>
      </c>
      <c r="H20" s="608">
        <f>C3</f>
        <v>0</v>
      </c>
    </row>
    <row r="21" spans="1:8">
      <c r="A21" s="354" t="s">
        <v>121</v>
      </c>
      <c r="B21" s="609"/>
      <c r="C21" s="610"/>
      <c r="D21" s="611">
        <f>SUM(B21:C21)</f>
        <v>0</v>
      </c>
      <c r="E21" s="355"/>
      <c r="F21" s="49"/>
      <c r="G21" s="607" t="s">
        <v>122</v>
      </c>
      <c r="H21" s="608">
        <v>2.5000000000000001E-3</v>
      </c>
    </row>
    <row r="22" spans="1:8">
      <c r="A22" s="354" t="s">
        <v>123</v>
      </c>
      <c r="B22" s="610"/>
      <c r="C22" s="610"/>
      <c r="D22" s="611">
        <f>SUM(B22:C22)</f>
        <v>0</v>
      </c>
      <c r="E22" s="355"/>
      <c r="F22" s="49"/>
      <c r="G22" s="607" t="s">
        <v>118</v>
      </c>
      <c r="H22" s="612"/>
    </row>
    <row r="23" spans="1:8">
      <c r="A23" s="354" t="s">
        <v>124</v>
      </c>
      <c r="B23" s="610"/>
      <c r="C23" s="610"/>
      <c r="D23" s="611">
        <f>SUM(H20:H21)</f>
        <v>2.5000000000000001E-3</v>
      </c>
      <c r="E23" s="355"/>
      <c r="F23" s="49"/>
      <c r="G23" s="49"/>
      <c r="H23" s="49"/>
    </row>
    <row r="24" spans="1:8">
      <c r="A24" s="354" t="s">
        <v>125</v>
      </c>
      <c r="B24" s="610"/>
      <c r="C24" s="610"/>
      <c r="D24" s="611">
        <f>SUM(H20:H21)</f>
        <v>2.5000000000000001E-3</v>
      </c>
      <c r="E24" s="355"/>
      <c r="F24" s="49"/>
      <c r="G24" s="49"/>
      <c r="H24" s="49"/>
    </row>
    <row r="25" spans="1:8">
      <c r="A25" s="354" t="s">
        <v>126</v>
      </c>
      <c r="B25" s="610"/>
      <c r="C25" s="610"/>
      <c r="D25" s="611">
        <f>SUM(B25:C25)</f>
        <v>0</v>
      </c>
      <c r="E25" s="355"/>
      <c r="F25" s="49"/>
      <c r="G25" s="49"/>
      <c r="H25" s="49"/>
    </row>
    <row r="26" spans="1:8">
      <c r="A26" s="49"/>
      <c r="B26" s="355"/>
      <c r="C26" s="603"/>
      <c r="D26" s="49"/>
      <c r="E26" s="355"/>
      <c r="F26" s="49"/>
      <c r="G26" s="49"/>
      <c r="H26" s="49"/>
    </row>
    <row r="27" spans="1:8" ht="15.75">
      <c r="A27" s="54" t="s">
        <v>127</v>
      </c>
      <c r="B27" s="613"/>
      <c r="C27" s="614"/>
      <c r="D27" s="614"/>
      <c r="E27" s="613"/>
      <c r="F27" s="49"/>
      <c r="G27" s="49"/>
      <c r="H27" s="49"/>
    </row>
    <row r="28" spans="1:8">
      <c r="A28" s="615" t="s">
        <v>128</v>
      </c>
      <c r="B28" s="616">
        <v>0</v>
      </c>
      <c r="C28" s="614"/>
      <c r="D28" s="614"/>
      <c r="E28" s="613"/>
      <c r="F28" s="49"/>
      <c r="G28" s="49"/>
      <c r="H28" s="49"/>
    </row>
    <row r="29" spans="1:8">
      <c r="A29" s="617" t="s">
        <v>129</v>
      </c>
      <c r="B29" s="616">
        <v>0</v>
      </c>
      <c r="C29" s="614"/>
      <c r="D29" s="614"/>
      <c r="E29" s="613"/>
      <c r="F29" s="49"/>
      <c r="G29" s="49"/>
      <c r="H29" s="49"/>
    </row>
    <row r="30" spans="1:8">
      <c r="A30" s="615" t="s">
        <v>127</v>
      </c>
      <c r="B30" s="618">
        <f>SUM(B28:B29)</f>
        <v>0</v>
      </c>
      <c r="C30" s="614"/>
      <c r="D30" s="614"/>
      <c r="E30" s="613"/>
      <c r="F30" s="49"/>
      <c r="G30" s="49"/>
      <c r="H30" s="49"/>
    </row>
    <row r="31" spans="1:8">
      <c r="A31" s="615"/>
      <c r="B31" s="614"/>
      <c r="C31" s="614"/>
      <c r="D31" s="614"/>
      <c r="E31" s="613"/>
      <c r="F31" s="49"/>
      <c r="G31" s="49"/>
      <c r="H31" s="49"/>
    </row>
    <row r="32" spans="1:8">
      <c r="A32" s="354"/>
      <c r="B32" s="49"/>
      <c r="C32" s="49"/>
      <c r="D32" s="49"/>
      <c r="E32" s="355"/>
      <c r="F32" s="49"/>
      <c r="G32" s="49"/>
      <c r="H32" s="49"/>
    </row>
    <row r="33" spans="1:9" ht="15.75">
      <c r="A33" s="41" t="s">
        <v>130</v>
      </c>
      <c r="B33" s="49"/>
      <c r="C33" s="49"/>
      <c r="D33" s="49"/>
      <c r="E33" s="355"/>
      <c r="F33" s="49"/>
      <c r="G33" s="49"/>
      <c r="H33" s="49"/>
      <c r="I33" s="49"/>
    </row>
    <row r="34" spans="1:9" ht="15.75">
      <c r="A34" s="41"/>
      <c r="B34" s="49"/>
      <c r="C34" s="49"/>
      <c r="D34" s="49"/>
      <c r="E34" s="355"/>
      <c r="F34" s="49"/>
      <c r="G34" s="49"/>
      <c r="H34" s="49"/>
      <c r="I34" s="49"/>
    </row>
    <row r="35" spans="1:9" ht="15.75">
      <c r="A35" s="39" t="s">
        <v>131</v>
      </c>
      <c r="B35" s="128" t="s">
        <v>132</v>
      </c>
      <c r="C35" s="128" t="s">
        <v>133</v>
      </c>
      <c r="D35" s="128" t="s">
        <v>134</v>
      </c>
      <c r="E35" s="128" t="s">
        <v>135</v>
      </c>
      <c r="F35" s="128" t="s">
        <v>136</v>
      </c>
      <c r="G35" s="128" t="s">
        <v>137</v>
      </c>
      <c r="H35" s="356" t="s">
        <v>94</v>
      </c>
      <c r="I35" s="128" t="s">
        <v>96</v>
      </c>
    </row>
    <row r="36" spans="1:9">
      <c r="A36" s="354" t="s">
        <v>123</v>
      </c>
      <c r="B36" s="619" t="e">
        <f ca="1">B10</f>
        <v>#DIV/0!</v>
      </c>
      <c r="C36" s="620">
        <v>0.5</v>
      </c>
      <c r="D36" s="621">
        <f>C15</f>
        <v>0</v>
      </c>
      <c r="E36" s="603">
        <f>B22</f>
        <v>0</v>
      </c>
      <c r="F36" s="622" t="e">
        <f t="shared" ref="F36:F42" ca="1" si="0">B36*C36*D36*E36</f>
        <v>#DIV/0!</v>
      </c>
      <c r="G36" s="603">
        <f>C22</f>
        <v>0</v>
      </c>
      <c r="H36" s="623" t="e">
        <f ca="1">ROUND(B36*C36*D36*G36,0)</f>
        <v>#DIV/0!</v>
      </c>
      <c r="I36" s="622" t="e">
        <f ca="1">F36+H36</f>
        <v>#DIV/0!</v>
      </c>
    </row>
    <row r="37" spans="1:9">
      <c r="A37" s="354"/>
      <c r="B37" s="619" t="e">
        <f ca="1">B10</f>
        <v>#DIV/0!</v>
      </c>
      <c r="C37" s="620">
        <v>1</v>
      </c>
      <c r="D37" s="621">
        <f>C16</f>
        <v>0</v>
      </c>
      <c r="E37" s="603">
        <f>B22</f>
        <v>0</v>
      </c>
      <c r="F37" s="622" t="e">
        <f t="shared" ca="1" si="0"/>
        <v>#DIV/0!</v>
      </c>
      <c r="G37" s="603">
        <f>C22</f>
        <v>0</v>
      </c>
      <c r="H37" s="623" t="e">
        <f t="shared" ref="H37:H42" ca="1" si="1">ROUND(B37*C37*D37*G37,0)</f>
        <v>#DIV/0!</v>
      </c>
      <c r="I37" s="622" t="e">
        <f t="shared" ref="I37:I42" ca="1" si="2">F37+H37</f>
        <v>#DIV/0!</v>
      </c>
    </row>
    <row r="38" spans="1:9">
      <c r="A38" s="354" t="s">
        <v>121</v>
      </c>
      <c r="B38" s="619" t="e">
        <f ca="1">B9</f>
        <v>#DIV/0!</v>
      </c>
      <c r="C38" s="620">
        <v>0.5</v>
      </c>
      <c r="D38" s="621">
        <f>C15</f>
        <v>0</v>
      </c>
      <c r="E38" s="603">
        <f>B21</f>
        <v>0</v>
      </c>
      <c r="F38" s="622" t="e">
        <f t="shared" ca="1" si="0"/>
        <v>#DIV/0!</v>
      </c>
      <c r="G38" s="603">
        <f>C21</f>
        <v>0</v>
      </c>
      <c r="H38" s="623" t="e">
        <f t="shared" ca="1" si="1"/>
        <v>#DIV/0!</v>
      </c>
      <c r="I38" s="622" t="e">
        <f t="shared" ca="1" si="2"/>
        <v>#DIV/0!</v>
      </c>
    </row>
    <row r="39" spans="1:9">
      <c r="A39" s="354"/>
      <c r="B39" s="619" t="e">
        <f ca="1">B9</f>
        <v>#DIV/0!</v>
      </c>
      <c r="C39" s="620">
        <v>1</v>
      </c>
      <c r="D39" s="621">
        <f>C16</f>
        <v>0</v>
      </c>
      <c r="E39" s="603">
        <f>B21</f>
        <v>0</v>
      </c>
      <c r="F39" s="622" t="e">
        <f t="shared" ca="1" si="0"/>
        <v>#DIV/0!</v>
      </c>
      <c r="G39" s="603">
        <f>C21</f>
        <v>0</v>
      </c>
      <c r="H39" s="623" t="e">
        <f t="shared" ca="1" si="1"/>
        <v>#DIV/0!</v>
      </c>
      <c r="I39" s="622" t="e">
        <f t="shared" ca="1" si="2"/>
        <v>#DIV/0!</v>
      </c>
    </row>
    <row r="40" spans="1:9">
      <c r="A40" s="354" t="str">
        <f>A23</f>
        <v>2nd Construction</v>
      </c>
      <c r="B40" s="619">
        <f>'Devel. Bud'!D83</f>
        <v>0</v>
      </c>
      <c r="C40" s="620">
        <v>1</v>
      </c>
      <c r="D40" s="621">
        <f>C17</f>
        <v>0</v>
      </c>
      <c r="E40" s="603">
        <f>B23</f>
        <v>0</v>
      </c>
      <c r="F40" s="622">
        <f t="shared" si="0"/>
        <v>0</v>
      </c>
      <c r="G40" s="603">
        <f>C23</f>
        <v>0</v>
      </c>
      <c r="H40" s="623">
        <f t="shared" si="1"/>
        <v>0</v>
      </c>
      <c r="I40" s="622">
        <f t="shared" si="2"/>
        <v>0</v>
      </c>
    </row>
    <row r="41" spans="1:9">
      <c r="A41" s="354" t="str">
        <f>A24</f>
        <v>3rd Construction</v>
      </c>
      <c r="B41" s="619">
        <f>'Devel. Bud'!D84</f>
        <v>0</v>
      </c>
      <c r="C41" s="620">
        <v>1</v>
      </c>
      <c r="D41" s="621">
        <f>C17</f>
        <v>0</v>
      </c>
      <c r="E41" s="603">
        <f>B24</f>
        <v>0</v>
      </c>
      <c r="F41" s="622">
        <f t="shared" si="0"/>
        <v>0</v>
      </c>
      <c r="G41" s="603">
        <f t="shared" ref="G41:G42" si="3">C24</f>
        <v>0</v>
      </c>
      <c r="H41" s="623">
        <f t="shared" si="1"/>
        <v>0</v>
      </c>
      <c r="I41" s="622">
        <f t="shared" si="2"/>
        <v>0</v>
      </c>
    </row>
    <row r="42" spans="1:9">
      <c r="A42" s="354" t="str">
        <f>A25</f>
        <v>4th Construction</v>
      </c>
      <c r="B42" s="619">
        <f>'Devel. Bud'!D85</f>
        <v>0</v>
      </c>
      <c r="C42" s="620">
        <v>1</v>
      </c>
      <c r="D42" s="621">
        <f>C17</f>
        <v>0</v>
      </c>
      <c r="E42" s="603">
        <f>B25</f>
        <v>0</v>
      </c>
      <c r="F42" s="622">
        <f t="shared" si="0"/>
        <v>0</v>
      </c>
      <c r="G42" s="603">
        <f t="shared" si="3"/>
        <v>0</v>
      </c>
      <c r="H42" s="623">
        <f t="shared" si="1"/>
        <v>0</v>
      </c>
      <c r="I42" s="622">
        <f t="shared" si="2"/>
        <v>0</v>
      </c>
    </row>
    <row r="43" spans="1:9" ht="15.75">
      <c r="A43" s="49"/>
      <c r="B43" s="49"/>
      <c r="C43" s="49"/>
      <c r="D43" s="49"/>
      <c r="E43" s="39" t="s">
        <v>138</v>
      </c>
      <c r="F43" s="42" t="e">
        <f ca="1">SUM(F36:F42)</f>
        <v>#DIV/0!</v>
      </c>
      <c r="G43" s="49"/>
      <c r="H43" s="357" t="e">
        <f ca="1">SUM(H36:H42)</f>
        <v>#DIV/0!</v>
      </c>
      <c r="I43" s="42" t="e">
        <f ca="1">SUM(I36:I42)</f>
        <v>#DIV/0!</v>
      </c>
    </row>
    <row r="44" spans="1:9" ht="15.75">
      <c r="A44" s="41"/>
      <c r="B44" s="49"/>
      <c r="C44" s="49"/>
      <c r="D44" s="49"/>
      <c r="E44" s="355"/>
      <c r="F44" s="622"/>
      <c r="G44" s="49"/>
      <c r="H44" s="49"/>
      <c r="I44" s="49"/>
    </row>
    <row r="45" spans="1:9" ht="15.75">
      <c r="A45" s="41"/>
      <c r="B45" s="49"/>
      <c r="C45" s="49"/>
      <c r="D45" s="49"/>
      <c r="E45" s="355"/>
      <c r="F45" s="49"/>
      <c r="G45" s="49"/>
      <c r="H45" s="49"/>
      <c r="I45" s="49"/>
    </row>
    <row r="46" spans="1:9" ht="15.75">
      <c r="A46" s="39" t="s">
        <v>127</v>
      </c>
      <c r="B46" s="128" t="s">
        <v>132</v>
      </c>
      <c r="C46" s="128" t="s">
        <v>133</v>
      </c>
      <c r="D46" s="128" t="s">
        <v>134</v>
      </c>
      <c r="E46" s="128" t="s">
        <v>135</v>
      </c>
      <c r="F46" s="128" t="s">
        <v>139</v>
      </c>
      <c r="G46" s="18"/>
      <c r="H46" s="49"/>
      <c r="I46" s="49"/>
    </row>
    <row r="47" spans="1:9">
      <c r="A47" s="354" t="s">
        <v>140</v>
      </c>
      <c r="B47" s="355">
        <f>B11</f>
        <v>0</v>
      </c>
      <c r="C47" s="620">
        <v>0.5</v>
      </c>
      <c r="D47" s="621">
        <f>C15</f>
        <v>0</v>
      </c>
      <c r="E47" s="603">
        <f>B30</f>
        <v>0</v>
      </c>
      <c r="F47" s="622">
        <f>B47*C47*D47*E47</f>
        <v>0</v>
      </c>
      <c r="G47" s="49"/>
      <c r="H47" s="49"/>
      <c r="I47" s="49"/>
    </row>
    <row r="48" spans="1:9">
      <c r="A48" s="354"/>
      <c r="B48" s="355">
        <f>B11</f>
        <v>0</v>
      </c>
      <c r="C48" s="620">
        <v>1</v>
      </c>
      <c r="D48" s="621">
        <f>C16</f>
        <v>0</v>
      </c>
      <c r="E48" s="603">
        <f>B30</f>
        <v>0</v>
      </c>
      <c r="F48" s="622">
        <f>B48*C48*D48*E48</f>
        <v>0</v>
      </c>
      <c r="G48" s="49"/>
      <c r="H48" s="49"/>
      <c r="I48" s="49"/>
    </row>
    <row r="49" spans="1:6">
      <c r="A49" s="354" t="s">
        <v>141</v>
      </c>
      <c r="B49" s="355">
        <f>'Devel. Bud'!D83</f>
        <v>0</v>
      </c>
      <c r="C49" s="620">
        <v>1</v>
      </c>
      <c r="D49" s="621">
        <f>C17</f>
        <v>0</v>
      </c>
      <c r="E49" s="603">
        <f>B23</f>
        <v>0</v>
      </c>
      <c r="F49" s="622">
        <f>B49*C49*D49*E49</f>
        <v>0</v>
      </c>
    </row>
    <row r="50" spans="1:6">
      <c r="A50" s="354"/>
      <c r="B50" s="355">
        <f>'Devel. Bud'!D84</f>
        <v>0</v>
      </c>
      <c r="C50" s="620">
        <v>1</v>
      </c>
      <c r="D50" s="621">
        <f>C17</f>
        <v>0</v>
      </c>
      <c r="E50" s="603">
        <f>B24</f>
        <v>0</v>
      </c>
      <c r="F50" s="622">
        <f>B50*C50*D50*E50</f>
        <v>0</v>
      </c>
    </row>
    <row r="51" spans="1:6" ht="15.75">
      <c r="A51" s="49"/>
      <c r="B51" s="49"/>
      <c r="C51" s="49"/>
      <c r="D51" s="49"/>
      <c r="E51" s="39" t="s">
        <v>142</v>
      </c>
      <c r="F51" s="42">
        <f>SUM(F47:F50)</f>
        <v>0</v>
      </c>
    </row>
    <row r="52" spans="1:6">
      <c r="A52" s="49"/>
      <c r="B52" s="49"/>
      <c r="C52" s="49"/>
      <c r="D52" s="49"/>
      <c r="E52" s="355"/>
      <c r="F52" s="49"/>
    </row>
    <row r="53" spans="1:6">
      <c r="A53" s="624"/>
      <c r="B53" s="624"/>
      <c r="C53" s="624"/>
      <c r="D53" s="624"/>
      <c r="E53" s="625"/>
      <c r="F53" s="624"/>
    </row>
    <row r="54" spans="1:6" ht="15.75">
      <c r="A54" s="18" t="s">
        <v>143</v>
      </c>
      <c r="B54" s="49"/>
      <c r="C54" s="49"/>
      <c r="D54" s="49"/>
      <c r="E54" s="49"/>
      <c r="F54" s="49"/>
    </row>
    <row r="55" spans="1:6" s="18" customFormat="1" ht="15.75">
      <c r="A55" s="600" t="s">
        <v>144</v>
      </c>
      <c r="B55" s="22"/>
    </row>
    <row r="56" spans="1:6" s="18" customFormat="1" ht="15.75">
      <c r="B56" s="22"/>
    </row>
    <row r="57" spans="1:6" s="18" customFormat="1" ht="15.75">
      <c r="A57" s="354" t="s">
        <v>145</v>
      </c>
      <c r="B57" s="626"/>
    </row>
    <row r="58" spans="1:6" s="18" customFormat="1" ht="15.75">
      <c r="B58" s="22"/>
    </row>
    <row r="59" spans="1:6" s="18" customFormat="1" ht="15.75">
      <c r="B59" s="22"/>
    </row>
    <row r="60" spans="1:6" ht="17.25" customHeight="1">
      <c r="A60" s="49"/>
      <c r="B60" s="627" t="s">
        <v>146</v>
      </c>
      <c r="C60" s="627" t="s">
        <v>147</v>
      </c>
      <c r="D60" s="49"/>
      <c r="E60" s="49"/>
      <c r="F60" s="49"/>
    </row>
    <row r="61" spans="1:6">
      <c r="A61" s="354" t="s">
        <v>148</v>
      </c>
      <c r="B61" s="603">
        <f>B22</f>
        <v>0</v>
      </c>
      <c r="C61" s="603">
        <f>B21</f>
        <v>0</v>
      </c>
      <c r="D61" s="49"/>
      <c r="E61" s="49"/>
      <c r="F61" s="49"/>
    </row>
    <row r="62" spans="1:6">
      <c r="A62" s="354" t="s">
        <v>109</v>
      </c>
      <c r="B62" s="355" t="e">
        <f ca="1">B10</f>
        <v>#DIV/0!</v>
      </c>
      <c r="C62" s="529" t="e">
        <f ca="1">B9</f>
        <v>#DIV/0!</v>
      </c>
      <c r="D62" s="49"/>
      <c r="E62" s="49"/>
      <c r="F62" s="49"/>
    </row>
    <row r="63" spans="1:6">
      <c r="A63" s="354" t="s">
        <v>133</v>
      </c>
      <c r="B63" s="628">
        <v>0.5</v>
      </c>
      <c r="C63" s="628">
        <v>0.5</v>
      </c>
      <c r="D63" s="49"/>
      <c r="E63" s="49"/>
      <c r="F63" s="49"/>
    </row>
    <row r="64" spans="1:6">
      <c r="A64" s="354" t="s">
        <v>149</v>
      </c>
      <c r="B64" s="629">
        <f>B61-B57</f>
        <v>0</v>
      </c>
      <c r="C64" s="629">
        <f>C61-B57</f>
        <v>0</v>
      </c>
      <c r="D64" s="49"/>
      <c r="E64" s="49"/>
      <c r="F64" s="49"/>
    </row>
    <row r="65" spans="1:4">
      <c r="A65" s="354" t="s">
        <v>150</v>
      </c>
      <c r="B65" s="605">
        <f>C15</f>
        <v>0</v>
      </c>
      <c r="C65" s="605">
        <f>C15</f>
        <v>0</v>
      </c>
      <c r="D65" s="49"/>
    </row>
    <row r="66" spans="1:4">
      <c r="A66" s="354"/>
      <c r="B66" s="622" t="e">
        <f ca="1">B62*B63*B64*B65</f>
        <v>#DIV/0!</v>
      </c>
      <c r="C66" s="622" t="e">
        <f ca="1">C62*C63*C64*C65</f>
        <v>#DIV/0!</v>
      </c>
      <c r="D66" s="622"/>
    </row>
    <row r="67" spans="1:4">
      <c r="A67" s="354"/>
      <c r="B67" s="49"/>
      <c r="C67" s="49"/>
      <c r="D67" s="49"/>
    </row>
    <row r="68" spans="1:4" ht="15.75">
      <c r="A68" s="39" t="s">
        <v>74</v>
      </c>
      <c r="B68" s="81" t="e">
        <f ca="1">B66+C66</f>
        <v>#DIV/0!</v>
      </c>
      <c r="C68" s="49"/>
      <c r="D68" s="49"/>
    </row>
    <row r="69" spans="1:4" ht="15.75">
      <c r="A69" s="18"/>
      <c r="B69" s="49"/>
      <c r="C69" s="49"/>
      <c r="D69" s="49"/>
    </row>
    <row r="70" spans="1:4" ht="15.75">
      <c r="A70" s="18"/>
      <c r="B70" s="49"/>
      <c r="C70" s="49"/>
      <c r="D70" s="49"/>
    </row>
    <row r="71" spans="1:4" ht="15.75">
      <c r="A71" s="18" t="s">
        <v>151</v>
      </c>
      <c r="B71" s="12"/>
      <c r="C71" s="49"/>
      <c r="D71" s="18"/>
    </row>
    <row r="73" spans="1:4">
      <c r="A73" s="49" t="s">
        <v>106</v>
      </c>
      <c r="B73" s="49"/>
      <c r="C73" s="630">
        <f>B11</f>
        <v>0</v>
      </c>
      <c r="D73" s="49"/>
    </row>
    <row r="74" spans="1:4">
      <c r="A74" s="49" t="s">
        <v>152</v>
      </c>
      <c r="B74" s="604"/>
      <c r="C74" s="575">
        <f>C73*B21*(B74/360)</f>
        <v>0</v>
      </c>
      <c r="D74" s="49"/>
    </row>
    <row r="75" spans="1:4" ht="15.75">
      <c r="A75" s="49" t="s">
        <v>153</v>
      </c>
      <c r="B75" s="355"/>
      <c r="C75" s="80">
        <f>C73+C74</f>
        <v>0</v>
      </c>
      <c r="D75" s="49"/>
    </row>
    <row r="76" spans="1:4">
      <c r="A76" s="49"/>
      <c r="B76" s="631"/>
      <c r="C76" s="49"/>
      <c r="D76" s="49"/>
    </row>
    <row r="77" spans="1:4">
      <c r="A77" s="49"/>
      <c r="B77" s="632"/>
      <c r="C77" s="49"/>
      <c r="D77" s="49"/>
    </row>
    <row r="80" spans="1:4">
      <c r="A80" s="49"/>
      <c r="B80" s="633"/>
      <c r="C80" s="49"/>
      <c r="D80" s="49"/>
    </row>
    <row r="81" spans="2:2">
      <c r="B81" s="633"/>
    </row>
    <row r="82" spans="2:2">
      <c r="B82" s="633"/>
    </row>
    <row r="87" spans="2:2">
      <c r="B87" s="355"/>
    </row>
    <row r="88" spans="2:2">
      <c r="B88" s="628"/>
    </row>
    <row r="89" spans="2:2">
      <c r="B89" s="634"/>
    </row>
    <row r="92" spans="2:2">
      <c r="B92" s="635"/>
    </row>
    <row r="94" spans="2:2">
      <c r="B94" s="636"/>
    </row>
    <row r="97" spans="1:2" ht="15.75">
      <c r="A97" s="18"/>
      <c r="B97" s="20"/>
    </row>
  </sheetData>
  <dataConsolidate/>
  <customSheetViews>
    <customSheetView guid="{25C4E7E7-1006-4A2D-BC83-AEE4ADF8A914}" scale="75" showPageBreaks="1" fitToPage="1" printArea="1" hiddenRows="1" showRuler="0" topLeftCell="A7">
      <selection activeCell="C18" sqref="C18"/>
      <pageMargins left="0" right="0" top="0" bottom="0" header="0" footer="0"/>
      <pageSetup scale="77" orientation="portrait" r:id="rId1"/>
      <headerFooter alignWithMargins="0"/>
    </customSheetView>
    <customSheetView guid="{28F81D13-D146-4D67-8981-BA5D7A496326}" scale="60" showPageBreaks="1" fitToPage="1" printArea="1" hiddenRows="1" view="pageBreakPreview" showRuler="0" topLeftCell="A4">
      <selection activeCell="E41" sqref="E41"/>
      <pageMargins left="0" right="0" top="0" bottom="0" header="0" footer="0"/>
      <pageSetup scale="60" orientation="portrait" r:id="rId2"/>
      <headerFooter alignWithMargins="0"/>
    </customSheetView>
    <customSheetView guid="{AEA5979F-5357-4ED6-A6CA-1BB80F5C7A74}" scale="60" showPageBreaks="1" fitToPage="1" printArea="1" hiddenRows="1" view="pageBreakPreview" showRuler="0">
      <selection activeCell="B25" sqref="B25"/>
      <pageMargins left="0" right="0" top="0" bottom="0" header="0" footer="0"/>
      <pageSetup scale="62" orientation="portrait" r:id="rId3"/>
      <headerFooter alignWithMargins="0"/>
    </customSheetView>
    <customSheetView guid="{EB776EFC-3589-4DB5-BEAF-1E83D9703F9E}" scale="75" fitToPage="1" hiddenRows="1" hiddenColumns="1" showRuler="0" topLeftCell="A17">
      <selection activeCell="J41" sqref="J41"/>
      <pageMargins left="0" right="0" top="0" bottom="0" header="0" footer="0"/>
      <pageSetup scale="93" orientation="portrait" r:id="rId4"/>
      <headerFooter alignWithMargins="0"/>
    </customSheetView>
    <customSheetView guid="{FBB4BF8E-8A9F-4E98-A6F9-5F9BF4C55C67}" scale="75" showPageBreaks="1" fitToPage="1" hiddenRows="1" hiddenColumns="1" showRuler="0" topLeftCell="A14">
      <selection activeCell="B42" sqref="B42"/>
      <pageMargins left="0" right="0" top="0" bottom="0" header="0" footer="0"/>
      <pageSetup scale="70" orientation="portrait" r:id="rId5"/>
      <headerFooter alignWithMargins="0"/>
    </customSheetView>
    <customSheetView guid="{6EF643BE-69F3-424E-8A44-3890161370D4}" scale="60" showPageBreaks="1" fitToPage="1" printArea="1" hiddenRows="1" view="pageBreakPreview" showRuler="0" topLeftCell="A13">
      <selection activeCell="E40" sqref="E40"/>
      <pageMargins left="0" right="0" top="0" bottom="0" header="0" footer="0"/>
      <pageSetup scale="60" orientation="portrait" r:id="rId6"/>
      <headerFooter alignWithMargins="0"/>
    </customSheetView>
    <customSheetView guid="{1ECE83C7-A3CE-4F97-BFD3-498FF783C0D9}" scale="75" showPageBreaks="1" fitToPage="1" printArea="1" showRuler="0" topLeftCell="A28">
      <selection activeCell="H29" sqref="H29"/>
      <pageMargins left="0" right="0" top="0" bottom="0" header="0" footer="0"/>
      <pageSetup scale="66" orientation="portrait" r:id="rId7"/>
      <headerFooter alignWithMargins="0"/>
    </customSheetView>
    <customSheetView guid="{560D4AFA-61E5-46C3-B0CD-D0EB3053A033}" scale="75" showPageBreaks="1" fitToPage="1" printArea="1" hiddenRows="1" showRuler="0">
      <selection activeCell="C18" sqref="C18"/>
      <pageMargins left="0" right="0" top="0" bottom="0" header="0" footer="0"/>
      <pageSetup scale="77" orientation="portrait" r:id="rId8"/>
      <headerFooter alignWithMargins="0"/>
    </customSheetView>
  </customSheetViews>
  <phoneticPr fontId="0" type="noConversion"/>
  <pageMargins left="0.75" right="0.5" top="0.75" bottom="0.5" header="0.5" footer="0.5"/>
  <pageSetup scale="61" firstPageNumber="208" orientation="portrait" useFirstPageNumber="1" r:id="rId9"/>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pageSetUpPr fitToPage="1"/>
  </sheetPr>
  <dimension ref="B1:AC120"/>
  <sheetViews>
    <sheetView zoomScaleNormal="100" workbookViewId="0"/>
  </sheetViews>
  <sheetFormatPr defaultColWidth="9.77734375" defaultRowHeight="15"/>
  <cols>
    <col min="1" max="1" width="4.5546875" style="24" customWidth="1"/>
    <col min="2" max="2" width="23.21875" style="24" customWidth="1"/>
    <col min="3" max="3" width="13" style="24" customWidth="1"/>
    <col min="4" max="4" width="34.5546875" style="24" bestFit="1" customWidth="1"/>
    <col min="5" max="5" width="13.109375" style="24" customWidth="1"/>
    <col min="6" max="7" width="11.77734375" style="24" customWidth="1"/>
    <col min="8" max="10" width="14.44140625" style="24" customWidth="1"/>
    <col min="11" max="11" width="15.6640625" style="24" customWidth="1"/>
    <col min="12" max="12" width="8.109375" style="24" customWidth="1"/>
    <col min="13" max="14" width="6.77734375" style="24" customWidth="1"/>
    <col min="15" max="21" width="7" style="24" bestFit="1" customWidth="1"/>
    <col min="22" max="22" width="5.44140625" style="24" customWidth="1"/>
    <col min="23" max="23" width="7" style="24" bestFit="1" customWidth="1"/>
    <col min="24" max="16384" width="9.77734375" style="24"/>
  </cols>
  <sheetData>
    <row r="1" spans="2:10" ht="15.75">
      <c r="B1" s="1" t="str">
        <f>'Sources and Use'!A1</f>
        <v xml:space="preserve">Project Name: </v>
      </c>
      <c r="C1" s="2"/>
      <c r="D1" s="49"/>
      <c r="E1" s="49"/>
      <c r="F1" s="49"/>
      <c r="G1" s="49"/>
      <c r="H1" s="49"/>
      <c r="I1" s="1"/>
      <c r="J1" s="1"/>
    </row>
    <row r="2" spans="2:10" ht="15.75">
      <c r="B2" s="1" t="str">
        <f>'Sources and Use'!A2</f>
        <v>Development Team:</v>
      </c>
      <c r="C2" s="2"/>
      <c r="D2" s="49"/>
      <c r="E2" s="49"/>
      <c r="F2" s="49"/>
      <c r="G2" s="49"/>
      <c r="H2" s="49"/>
      <c r="I2" s="1"/>
      <c r="J2" s="1"/>
    </row>
    <row r="3" spans="2:10" ht="15.75">
      <c r="B3" s="1" t="str">
        <f>'Sources and Use'!A3</f>
        <v>Site:</v>
      </c>
      <c r="C3" s="2"/>
      <c r="D3" s="49"/>
      <c r="E3" s="49"/>
      <c r="F3" s="49"/>
      <c r="G3" s="49"/>
      <c r="H3" s="49"/>
      <c r="I3" s="1" t="str">
        <f>'Sources and Use'!C3</f>
        <v>Units:</v>
      </c>
      <c r="J3" s="186">
        <f>C24</f>
        <v>0</v>
      </c>
    </row>
    <row r="4" spans="2:10" ht="15.75" thickBot="1">
      <c r="B4" s="637"/>
      <c r="C4" s="637"/>
      <c r="D4" s="637"/>
      <c r="E4" s="637"/>
      <c r="F4" s="637"/>
      <c r="G4" s="637"/>
      <c r="H4" s="637"/>
      <c r="I4" s="637"/>
      <c r="J4" s="637"/>
    </row>
    <row r="5" spans="2:10" ht="18.75" customHeight="1" thickTop="1">
      <c r="B5" s="86" t="s">
        <v>154</v>
      </c>
      <c r="C5" s="110" t="s">
        <v>155</v>
      </c>
      <c r="D5" s="49"/>
      <c r="E5" s="206" t="s">
        <v>156</v>
      </c>
      <c r="F5" s="206" t="s">
        <v>157</v>
      </c>
      <c r="G5" s="207"/>
      <c r="H5" s="2"/>
      <c r="I5" s="49"/>
      <c r="J5" s="638"/>
    </row>
    <row r="6" spans="2:10" ht="15.75">
      <c r="B6" s="639" t="e">
        <f>C6/$C$11</f>
        <v>#DIV/0!</v>
      </c>
      <c r="C6" s="640"/>
      <c r="D6" s="257" t="s">
        <v>158</v>
      </c>
      <c r="E6" s="641" t="e">
        <f>F6/C6</f>
        <v>#DIV/0!</v>
      </c>
      <c r="F6" s="642">
        <f>F24</f>
        <v>0</v>
      </c>
      <c r="G6" s="208"/>
      <c r="H6" s="2"/>
      <c r="I6" s="49"/>
      <c r="J6" s="643"/>
    </row>
    <row r="7" spans="2:10" ht="15.75">
      <c r="B7" s="639" t="e">
        <f>C7/$C$11</f>
        <v>#DIV/0!</v>
      </c>
      <c r="C7" s="640"/>
      <c r="D7" s="257" t="s">
        <v>32</v>
      </c>
      <c r="E7" s="644">
        <v>1</v>
      </c>
      <c r="F7" s="642">
        <f>E7*C7</f>
        <v>0</v>
      </c>
      <c r="G7" s="208"/>
      <c r="H7" s="2"/>
      <c r="I7" s="49"/>
      <c r="J7" s="643"/>
    </row>
    <row r="8" spans="2:10" ht="15.75">
      <c r="B8" s="639" t="e">
        <f>C8/$C$11</f>
        <v>#DIV/0!</v>
      </c>
      <c r="C8" s="640"/>
      <c r="D8" s="257" t="s">
        <v>159</v>
      </c>
      <c r="E8" s="644">
        <v>1</v>
      </c>
      <c r="F8" s="642">
        <f>E8*C8</f>
        <v>0</v>
      </c>
      <c r="G8" s="208"/>
      <c r="H8" s="2"/>
      <c r="I8" s="49"/>
      <c r="J8" s="643"/>
    </row>
    <row r="9" spans="2:10" ht="15.75">
      <c r="B9" s="639" t="e">
        <f>C9/$C$11</f>
        <v>#DIV/0!</v>
      </c>
      <c r="C9" s="640"/>
      <c r="D9" s="257" t="s">
        <v>160</v>
      </c>
      <c r="E9" s="644">
        <v>1</v>
      </c>
      <c r="F9" s="642">
        <f>E9*C9</f>
        <v>0</v>
      </c>
      <c r="G9" s="208"/>
      <c r="H9" s="2"/>
      <c r="I9" s="49"/>
      <c r="J9" s="643"/>
    </row>
    <row r="10" spans="2:10" ht="15.75">
      <c r="B10" s="639" t="e">
        <f>C10/$C$11</f>
        <v>#DIV/0!</v>
      </c>
      <c r="C10" s="640"/>
      <c r="D10" s="257" t="s">
        <v>161</v>
      </c>
      <c r="E10" s="644">
        <v>1</v>
      </c>
      <c r="F10" s="642">
        <f>E10*C10</f>
        <v>0</v>
      </c>
      <c r="G10" s="208"/>
      <c r="H10" s="2"/>
      <c r="I10" s="49"/>
      <c r="J10" s="643"/>
    </row>
    <row r="11" spans="2:10" ht="15.75">
      <c r="B11" s="645"/>
      <c r="C11" s="38">
        <f>SUM(C6:C10)</f>
        <v>0</v>
      </c>
      <c r="D11" s="18" t="s">
        <v>162</v>
      </c>
      <c r="E11" s="209"/>
      <c r="F11" s="209">
        <f>SUM(F6:F10)</f>
        <v>0</v>
      </c>
      <c r="G11" s="210" t="s">
        <v>163</v>
      </c>
      <c r="H11" s="2"/>
      <c r="I11" s="49"/>
      <c r="J11" s="643"/>
    </row>
    <row r="12" spans="2:10" ht="15.75">
      <c r="B12" s="646"/>
      <c r="C12" s="110"/>
      <c r="D12" s="49"/>
      <c r="E12" s="38"/>
      <c r="F12" s="121"/>
      <c r="G12" s="18"/>
      <c r="H12" s="2"/>
      <c r="I12" s="49"/>
      <c r="J12" s="643"/>
    </row>
    <row r="13" spans="2:10" ht="15.75">
      <c r="B13" s="87"/>
      <c r="C13" s="647"/>
      <c r="D13" s="648"/>
      <c r="E13" s="88"/>
      <c r="F13" s="88"/>
      <c r="G13" s="122"/>
      <c r="H13" s="92"/>
      <c r="I13" s="649"/>
      <c r="J13" s="650"/>
    </row>
    <row r="14" spans="2:10" ht="16.5" thickBot="1">
      <c r="B14" s="83"/>
      <c r="C14" s="651"/>
      <c r="D14" s="652"/>
      <c r="E14" s="84"/>
      <c r="F14" s="85"/>
      <c r="G14" s="104"/>
      <c r="H14" s="104"/>
      <c r="I14" s="637"/>
      <c r="J14" s="637"/>
    </row>
    <row r="15" spans="2:10" ht="16.5" thickTop="1">
      <c r="B15" s="86" t="s">
        <v>164</v>
      </c>
      <c r="C15" s="110"/>
      <c r="D15" s="518"/>
      <c r="E15" s="38"/>
      <c r="F15" s="653"/>
      <c r="G15" s="49"/>
      <c r="H15" s="2"/>
      <c r="I15" s="49"/>
      <c r="J15" s="638"/>
    </row>
    <row r="16" spans="2:10" ht="15" customHeight="1">
      <c r="B16" s="654"/>
      <c r="C16" s="110"/>
      <c r="D16" s="110"/>
      <c r="E16" s="110"/>
      <c r="F16" s="38" t="s">
        <v>165</v>
      </c>
      <c r="G16" s="82"/>
      <c r="H16" s="2"/>
      <c r="I16" s="49"/>
      <c r="J16" s="643"/>
    </row>
    <row r="17" spans="2:10" ht="15.75">
      <c r="B17" s="509"/>
      <c r="C17" s="58" t="s">
        <v>166</v>
      </c>
      <c r="D17" s="58" t="s">
        <v>167</v>
      </c>
      <c r="E17" s="58" t="s">
        <v>168</v>
      </c>
      <c r="F17" s="38" t="s">
        <v>169</v>
      </c>
      <c r="G17" s="82"/>
      <c r="H17" s="110"/>
      <c r="I17" s="110"/>
      <c r="J17" s="643"/>
    </row>
    <row r="18" spans="2:10" ht="15.75">
      <c r="B18" s="655" t="s">
        <v>170</v>
      </c>
      <c r="C18" s="656">
        <f>SUM(I56,I64,I72,I80,I88,I96,I104,I111)</f>
        <v>0</v>
      </c>
      <c r="D18" s="109">
        <v>2</v>
      </c>
      <c r="E18" s="657">
        <f>D18*C18</f>
        <v>0</v>
      </c>
      <c r="F18" s="640"/>
      <c r="G18" s="82"/>
      <c r="H18" s="110"/>
      <c r="I18" s="49"/>
      <c r="J18" s="643"/>
    </row>
    <row r="19" spans="2:10" ht="15.75">
      <c r="B19" s="655" t="s">
        <v>171</v>
      </c>
      <c r="C19" s="656">
        <f t="shared" ref="C19:C21" si="0">SUM(I57,I65,I73,I81,I89,I97,I105,I112)</f>
        <v>0</v>
      </c>
      <c r="D19" s="109">
        <v>3</v>
      </c>
      <c r="E19" s="657">
        <f>C19*D19</f>
        <v>0</v>
      </c>
      <c r="F19" s="640"/>
      <c r="G19" s="82"/>
      <c r="H19" s="2"/>
      <c r="I19" s="49"/>
      <c r="J19" s="643"/>
    </row>
    <row r="20" spans="2:10" ht="15.75">
      <c r="B20" s="655" t="s">
        <v>172</v>
      </c>
      <c r="C20" s="656">
        <f t="shared" si="0"/>
        <v>0</v>
      </c>
      <c r="D20" s="109">
        <v>4</v>
      </c>
      <c r="E20" s="657">
        <f>C20*D20</f>
        <v>0</v>
      </c>
      <c r="F20" s="640"/>
      <c r="G20" s="18"/>
      <c r="H20" s="2"/>
      <c r="I20" s="49"/>
      <c r="J20" s="643"/>
    </row>
    <row r="21" spans="2:10" ht="15.75">
      <c r="B21" s="655" t="s">
        <v>173</v>
      </c>
      <c r="C21" s="656">
        <f t="shared" si="0"/>
        <v>0</v>
      </c>
      <c r="D21" s="109">
        <v>5</v>
      </c>
      <c r="E21" s="657">
        <f>D21*C21</f>
        <v>0</v>
      </c>
      <c r="F21" s="640"/>
      <c r="G21" s="67"/>
      <c r="H21" s="2"/>
      <c r="I21" s="49"/>
      <c r="J21" s="643"/>
    </row>
    <row r="22" spans="2:10" ht="15.75">
      <c r="B22" s="658" t="s">
        <v>55</v>
      </c>
      <c r="C22" s="231">
        <f>SUM(C18:C21)</f>
        <v>0</v>
      </c>
      <c r="D22" s="59"/>
      <c r="E22" s="232">
        <f>SUM(E18:E21)</f>
        <v>0</v>
      </c>
      <c r="F22" s="49"/>
      <c r="G22" s="49"/>
      <c r="H22" s="2"/>
      <c r="I22" s="2"/>
      <c r="J22" s="643"/>
    </row>
    <row r="23" spans="2:10" ht="15.75">
      <c r="B23" s="655" t="s">
        <v>174</v>
      </c>
      <c r="C23" s="659"/>
      <c r="D23" s="640"/>
      <c r="E23" s="657">
        <f>D23*C23</f>
        <v>0</v>
      </c>
      <c r="F23" s="640"/>
      <c r="G23" s="82"/>
      <c r="H23" s="2"/>
      <c r="I23" s="2"/>
      <c r="J23" s="643"/>
    </row>
    <row r="24" spans="2:10" ht="15.75">
      <c r="B24" s="658" t="s">
        <v>96</v>
      </c>
      <c r="C24" s="231">
        <f>C23+C22</f>
        <v>0</v>
      </c>
      <c r="D24" s="60"/>
      <c r="E24" s="232">
        <f>SUM(E22:E23)</f>
        <v>0</v>
      </c>
      <c r="F24" s="38">
        <f>C18*F18+C19*F19+C20*F20+C21*F21+C23*F23</f>
        <v>0</v>
      </c>
      <c r="G24" s="89" t="s">
        <v>175</v>
      </c>
      <c r="H24" s="2"/>
      <c r="I24" s="2"/>
      <c r="J24" s="643"/>
    </row>
    <row r="25" spans="2:10">
      <c r="B25" s="660"/>
      <c r="C25" s="49"/>
      <c r="D25" s="49"/>
      <c r="E25" s="49"/>
      <c r="F25" s="661" t="e">
        <f>F24/C24</f>
        <v>#DIV/0!</v>
      </c>
      <c r="G25" s="90" t="s">
        <v>176</v>
      </c>
      <c r="H25" s="49"/>
      <c r="I25" s="49"/>
      <c r="J25" s="643"/>
    </row>
    <row r="26" spans="2:10">
      <c r="B26" s="662"/>
      <c r="C26" s="649"/>
      <c r="D26" s="649"/>
      <c r="E26" s="649"/>
      <c r="F26" s="649"/>
      <c r="G26" s="649"/>
      <c r="H26" s="649"/>
      <c r="I26" s="649"/>
      <c r="J26" s="650"/>
    </row>
    <row r="27" spans="2:10">
      <c r="B27" s="49"/>
      <c r="C27" s="110"/>
      <c r="D27" s="110"/>
      <c r="E27" s="110"/>
      <c r="F27" s="2"/>
      <c r="G27" s="2"/>
      <c r="H27" s="2"/>
      <c r="I27" s="49"/>
      <c r="J27" s="663"/>
    </row>
    <row r="28" spans="2:10" ht="16.5" thickBot="1">
      <c r="B28" s="17"/>
      <c r="C28" s="651"/>
      <c r="D28" s="651"/>
      <c r="E28" s="651"/>
      <c r="F28" s="104"/>
      <c r="G28" s="104"/>
      <c r="H28" s="104"/>
      <c r="I28" s="637"/>
      <c r="J28" s="637"/>
    </row>
    <row r="29" spans="2:10" ht="16.5" thickTop="1">
      <c r="B29" s="76" t="s">
        <v>177</v>
      </c>
      <c r="C29" s="4"/>
      <c r="D29" s="2"/>
      <c r="E29" s="2"/>
      <c r="F29" s="124"/>
      <c r="G29" s="2"/>
      <c r="H29" s="2"/>
      <c r="I29" s="49"/>
      <c r="J29" s="638"/>
    </row>
    <row r="30" spans="2:10" s="68" customFormat="1" ht="30" customHeight="1">
      <c r="B30" s="664"/>
      <c r="C30" s="665" t="s">
        <v>178</v>
      </c>
      <c r="D30" s="666" t="s">
        <v>179</v>
      </c>
      <c r="E30" s="665" t="s">
        <v>180</v>
      </c>
      <c r="F30" s="667"/>
      <c r="G30" s="667"/>
      <c r="H30" s="667"/>
      <c r="I30" s="668"/>
      <c r="J30" s="669"/>
    </row>
    <row r="31" spans="2:10">
      <c r="B31" s="655" t="s">
        <v>181</v>
      </c>
      <c r="C31" s="640"/>
      <c r="D31" s="670"/>
      <c r="E31" s="5">
        <f>C31*D31*12</f>
        <v>0</v>
      </c>
      <c r="F31" s="2"/>
      <c r="G31" s="2"/>
      <c r="H31" s="2"/>
      <c r="I31" s="49"/>
      <c r="J31" s="643"/>
    </row>
    <row r="32" spans="2:10">
      <c r="B32" s="655" t="s">
        <v>182</v>
      </c>
      <c r="C32" s="640"/>
      <c r="D32" s="670"/>
      <c r="E32" s="5">
        <f>C32*D32*12</f>
        <v>0</v>
      </c>
      <c r="F32" s="2"/>
      <c r="G32" s="2"/>
      <c r="H32" s="2"/>
      <c r="I32" s="49"/>
      <c r="J32" s="643"/>
    </row>
    <row r="33" spans="2:29">
      <c r="B33" s="655" t="s">
        <v>183</v>
      </c>
      <c r="C33" s="640"/>
      <c r="D33" s="670"/>
      <c r="E33" s="5">
        <f>C33*D33*12</f>
        <v>0</v>
      </c>
      <c r="F33" s="2"/>
      <c r="G33" s="2"/>
      <c r="H33" s="2"/>
      <c r="I33" s="49"/>
      <c r="J33" s="643"/>
      <c r="K33" s="49"/>
      <c r="L33" s="49"/>
      <c r="M33" s="49"/>
      <c r="N33" s="49"/>
      <c r="O33" s="49"/>
      <c r="P33" s="49"/>
      <c r="Q33" s="49"/>
      <c r="R33" s="49"/>
      <c r="S33" s="49"/>
      <c r="T33" s="49"/>
      <c r="U33" s="49"/>
      <c r="V33" s="49"/>
      <c r="W33" s="49"/>
      <c r="X33" s="49"/>
      <c r="Y33" s="49"/>
      <c r="Z33" s="49"/>
      <c r="AA33" s="49"/>
      <c r="AB33" s="49"/>
      <c r="AC33" s="49"/>
    </row>
    <row r="34" spans="2:29" s="68" customFormat="1" ht="30.75" customHeight="1">
      <c r="B34" s="671"/>
      <c r="C34" s="672" t="s">
        <v>184</v>
      </c>
      <c r="D34" s="673" t="s">
        <v>185</v>
      </c>
      <c r="E34" s="665" t="s">
        <v>180</v>
      </c>
      <c r="F34" s="667"/>
      <c r="G34" s="674"/>
      <c r="H34" s="667"/>
      <c r="I34" s="668"/>
      <c r="J34" s="669"/>
      <c r="K34" s="668"/>
      <c r="L34" s="668"/>
      <c r="M34" s="668"/>
      <c r="N34" s="668"/>
      <c r="O34" s="668"/>
      <c r="P34" s="668"/>
      <c r="Q34" s="668"/>
      <c r="R34" s="668"/>
      <c r="S34" s="668"/>
      <c r="T34" s="668"/>
      <c r="U34" s="668"/>
      <c r="V34" s="668"/>
      <c r="W34" s="668"/>
      <c r="X34" s="668"/>
      <c r="Y34" s="668"/>
      <c r="Z34" s="668"/>
      <c r="AA34" s="668"/>
      <c r="AB34" s="668"/>
      <c r="AC34" s="668"/>
    </row>
    <row r="35" spans="2:29">
      <c r="B35" s="655" t="s">
        <v>186</v>
      </c>
      <c r="C35" s="675">
        <f>F8</f>
        <v>0</v>
      </c>
      <c r="D35" s="676"/>
      <c r="E35" s="5">
        <f>D35*C35</f>
        <v>0</v>
      </c>
      <c r="F35" s="46"/>
      <c r="G35" s="2"/>
      <c r="H35" s="2"/>
      <c r="I35" s="49"/>
      <c r="J35" s="643"/>
      <c r="K35" s="49"/>
      <c r="L35" s="49"/>
      <c r="M35" s="49"/>
      <c r="N35" s="49"/>
      <c r="O35" s="49"/>
      <c r="P35" s="49"/>
      <c r="Q35" s="49"/>
      <c r="R35" s="49"/>
      <c r="S35" s="49"/>
      <c r="T35" s="49"/>
      <c r="U35" s="49"/>
      <c r="V35" s="49"/>
      <c r="W35" s="49"/>
      <c r="X35" s="49"/>
      <c r="Y35" s="49"/>
      <c r="Z35" s="49"/>
      <c r="AA35" s="49"/>
      <c r="AB35" s="49"/>
      <c r="AC35" s="49"/>
    </row>
    <row r="36" spans="2:29" ht="32.25" customHeight="1">
      <c r="B36" s="655"/>
      <c r="C36" s="672" t="s">
        <v>184</v>
      </c>
      <c r="D36" s="673" t="s">
        <v>185</v>
      </c>
      <c r="E36" s="5"/>
      <c r="F36" s="46"/>
      <c r="G36" s="2"/>
      <c r="H36" s="2"/>
      <c r="I36" s="49"/>
      <c r="J36" s="643"/>
      <c r="K36" s="49"/>
      <c r="L36" s="49"/>
      <c r="M36" s="49"/>
      <c r="N36" s="49"/>
      <c r="O36" s="49"/>
      <c r="P36" s="49"/>
      <c r="Q36" s="49"/>
      <c r="R36" s="49"/>
      <c r="S36" s="49"/>
      <c r="T36" s="49"/>
      <c r="U36" s="49"/>
      <c r="V36" s="49"/>
      <c r="W36" s="49"/>
      <c r="X36" s="49"/>
      <c r="Y36" s="49"/>
      <c r="Z36" s="49"/>
      <c r="AA36" s="49"/>
      <c r="AB36" s="49"/>
      <c r="AC36" s="49"/>
    </row>
    <row r="37" spans="2:29">
      <c r="B37" s="655" t="s">
        <v>187</v>
      </c>
      <c r="C37" s="675">
        <f>F9</f>
        <v>0</v>
      </c>
      <c r="D37" s="676"/>
      <c r="E37" s="5">
        <f>D37*C37</f>
        <v>0</v>
      </c>
      <c r="F37" s="46"/>
      <c r="G37" s="2"/>
      <c r="H37" s="2"/>
      <c r="I37" s="49"/>
      <c r="J37" s="643"/>
      <c r="K37" s="49"/>
      <c r="L37" s="49"/>
      <c r="M37" s="49"/>
      <c r="N37" s="49"/>
      <c r="O37" s="49"/>
      <c r="P37" s="49"/>
      <c r="Q37" s="49"/>
      <c r="R37" s="49"/>
      <c r="S37" s="49"/>
      <c r="T37" s="49"/>
      <c r="U37" s="49"/>
      <c r="V37" s="49"/>
      <c r="W37" s="49"/>
      <c r="X37" s="49"/>
      <c r="Y37" s="49"/>
      <c r="Z37" s="49"/>
      <c r="AA37" s="49"/>
      <c r="AB37" s="49"/>
      <c r="AC37" s="49"/>
    </row>
    <row r="38" spans="2:29">
      <c r="B38" s="660"/>
      <c r="C38" s="49"/>
      <c r="D38" s="49"/>
      <c r="E38" s="49"/>
      <c r="F38" s="49"/>
      <c r="G38" s="49"/>
      <c r="H38" s="49"/>
      <c r="I38" s="49"/>
      <c r="J38" s="643"/>
      <c r="K38" s="49"/>
      <c r="L38" s="49"/>
      <c r="M38" s="49"/>
      <c r="N38" s="49"/>
      <c r="O38" s="49"/>
      <c r="P38" s="49"/>
      <c r="Q38" s="49"/>
      <c r="R38" s="49"/>
      <c r="S38" s="49"/>
      <c r="T38" s="49"/>
      <c r="U38" s="49"/>
      <c r="V38" s="49"/>
      <c r="W38" s="49"/>
      <c r="X38" s="49"/>
      <c r="Y38" s="49"/>
      <c r="Z38" s="49"/>
      <c r="AA38" s="49"/>
      <c r="AB38" s="49"/>
      <c r="AC38" s="49"/>
    </row>
    <row r="39" spans="2:29" s="68" customFormat="1" ht="15" customHeight="1">
      <c r="B39" s="664"/>
      <c r="C39" s="665" t="s">
        <v>188</v>
      </c>
      <c r="D39" s="665" t="s">
        <v>189</v>
      </c>
      <c r="E39" s="665" t="s">
        <v>180</v>
      </c>
      <c r="F39" s="667"/>
      <c r="G39" s="667"/>
      <c r="H39" s="668"/>
      <c r="I39" s="668"/>
      <c r="J39" s="669"/>
      <c r="K39" s="668"/>
      <c r="L39" s="668"/>
      <c r="M39" s="668"/>
      <c r="N39" s="668"/>
      <c r="O39" s="668"/>
      <c r="P39" s="668"/>
      <c r="Q39" s="668"/>
      <c r="R39" s="668"/>
      <c r="S39" s="668"/>
      <c r="T39" s="668"/>
      <c r="U39" s="668"/>
      <c r="V39" s="668"/>
      <c r="W39" s="668"/>
      <c r="X39" s="668"/>
      <c r="Y39" s="668"/>
      <c r="Z39" s="668"/>
      <c r="AA39" s="668"/>
      <c r="AB39" s="668"/>
      <c r="AC39" s="668"/>
    </row>
    <row r="40" spans="2:29">
      <c r="B40" s="655" t="s">
        <v>190</v>
      </c>
      <c r="C40" s="675">
        <f>+C24</f>
        <v>0</v>
      </c>
      <c r="D40" s="676"/>
      <c r="E40" s="5">
        <f>C40*D40</f>
        <v>0</v>
      </c>
      <c r="F40" s="2"/>
      <c r="G40" s="2"/>
      <c r="H40" s="49"/>
      <c r="I40" s="49"/>
      <c r="J40" s="643"/>
      <c r="K40" s="49"/>
      <c r="L40" s="49"/>
      <c r="M40" s="49"/>
      <c r="N40" s="49"/>
      <c r="O40" s="49"/>
      <c r="P40" s="49"/>
      <c r="Q40" s="49"/>
      <c r="R40" s="49"/>
      <c r="S40" s="49"/>
      <c r="T40" s="49"/>
      <c r="U40" s="49"/>
      <c r="V40" s="49"/>
      <c r="W40" s="49"/>
      <c r="X40" s="49"/>
      <c r="Y40" s="49"/>
      <c r="Z40" s="49"/>
      <c r="AA40" s="49"/>
      <c r="AB40" s="49"/>
      <c r="AC40" s="49"/>
    </row>
    <row r="41" spans="2:29" ht="15.75">
      <c r="B41" s="660"/>
      <c r="C41" s="49"/>
      <c r="D41" s="622"/>
      <c r="E41" s="49"/>
      <c r="F41" s="49"/>
      <c r="G41" s="49"/>
      <c r="H41" s="49"/>
      <c r="I41" s="49"/>
      <c r="J41" s="643"/>
      <c r="K41" s="49"/>
      <c r="L41" s="49"/>
      <c r="M41" s="49"/>
      <c r="N41" s="49"/>
      <c r="O41" s="49"/>
      <c r="P41" s="49"/>
      <c r="Q41" s="1"/>
      <c r="R41" s="2"/>
      <c r="S41" s="2"/>
      <c r="T41" s="2"/>
      <c r="U41" s="2"/>
      <c r="V41" s="49"/>
      <c r="W41" s="49"/>
      <c r="X41" s="49"/>
      <c r="Y41" s="49"/>
      <c r="Z41" s="49"/>
      <c r="AA41" s="49"/>
      <c r="AB41" s="49"/>
      <c r="AC41" s="49"/>
    </row>
    <row r="42" spans="2:29" ht="15.75">
      <c r="B42" s="660"/>
      <c r="C42" s="2"/>
      <c r="D42" s="61" t="s">
        <v>191</v>
      </c>
      <c r="E42" s="7">
        <f>E40+E35+E31+E37</f>
        <v>0</v>
      </c>
      <c r="F42" s="69" t="e">
        <f>E42/$J$120</f>
        <v>#DIV/0!</v>
      </c>
      <c r="G42" s="5"/>
      <c r="H42" s="49"/>
      <c r="I42" s="49"/>
      <c r="J42" s="643"/>
      <c r="K42" s="49"/>
      <c r="L42" s="49"/>
      <c r="M42" s="49"/>
      <c r="N42" s="49"/>
      <c r="O42" s="49"/>
      <c r="P42" s="49"/>
      <c r="Q42" s="1"/>
      <c r="R42" s="2"/>
      <c r="S42" s="2"/>
      <c r="T42" s="2"/>
      <c r="U42" s="2"/>
      <c r="V42" s="49"/>
      <c r="W42" s="49"/>
      <c r="X42" s="49"/>
      <c r="Y42" s="49"/>
      <c r="Z42" s="49"/>
      <c r="AA42" s="49"/>
      <c r="AB42" s="49"/>
      <c r="AC42" s="49"/>
    </row>
    <row r="43" spans="2:29" ht="15.75">
      <c r="B43" s="662"/>
      <c r="C43" s="649"/>
      <c r="D43" s="649"/>
      <c r="E43" s="649"/>
      <c r="F43" s="649"/>
      <c r="G43" s="515"/>
      <c r="H43" s="649"/>
      <c r="I43" s="649"/>
      <c r="J43" s="650"/>
      <c r="K43" s="49"/>
      <c r="L43" s="49"/>
      <c r="M43" s="49"/>
      <c r="N43" s="49"/>
      <c r="O43" s="49"/>
      <c r="P43" s="49"/>
      <c r="Q43" s="123"/>
      <c r="R43" s="665"/>
      <c r="S43" s="665"/>
      <c r="T43" s="665"/>
      <c r="U43" s="677"/>
      <c r="V43" s="49"/>
      <c r="W43" s="49"/>
      <c r="X43" s="49"/>
      <c r="Y43" s="49"/>
      <c r="Z43" s="49"/>
      <c r="AA43" s="49"/>
      <c r="AB43" s="49"/>
      <c r="AC43" s="49"/>
    </row>
    <row r="44" spans="2:29" ht="15.75" thickBot="1">
      <c r="B44" s="49"/>
      <c r="C44" s="2"/>
      <c r="D44" s="2"/>
      <c r="E44" s="2"/>
      <c r="F44" s="2"/>
      <c r="G44" s="2"/>
      <c r="H44" s="49"/>
      <c r="I44" s="49"/>
      <c r="J44" s="49"/>
      <c r="K44" s="49"/>
      <c r="L44" s="49"/>
      <c r="M44" s="49"/>
      <c r="N44" s="49"/>
      <c r="O44" s="49"/>
      <c r="P44" s="49"/>
      <c r="Q44" s="2"/>
      <c r="R44" s="2"/>
      <c r="S44" s="678"/>
      <c r="T44" s="5"/>
      <c r="U44" s="49"/>
      <c r="V44" s="49"/>
      <c r="W44" s="49"/>
      <c r="X44" s="49"/>
      <c r="Y44" s="49"/>
      <c r="Z44" s="49"/>
      <c r="AA44" s="49"/>
      <c r="AB44" s="49"/>
      <c r="AC44" s="49"/>
    </row>
    <row r="45" spans="2:29" ht="16.5" thickTop="1">
      <c r="B45" s="76" t="s">
        <v>192</v>
      </c>
      <c r="C45" s="124"/>
      <c r="D45" s="124"/>
      <c r="E45" s="124"/>
      <c r="F45" s="124"/>
      <c r="G45" s="124"/>
      <c r="H45" s="124"/>
      <c r="I45" s="124"/>
      <c r="J45" s="638"/>
      <c r="K45"/>
      <c r="L45"/>
      <c r="M45" s="221" t="s">
        <v>193</v>
      </c>
      <c r="N45" s="223"/>
      <c r="O45" s="679"/>
      <c r="P45" s="679"/>
      <c r="Q45" s="222"/>
      <c r="R45" s="223"/>
      <c r="S45" s="223"/>
      <c r="T45" s="224"/>
      <c r="U45" s="679"/>
      <c r="V45" s="679"/>
      <c r="W45" s="680"/>
      <c r="X45" s="49"/>
      <c r="Y45" s="49"/>
      <c r="Z45" s="49"/>
      <c r="AA45" s="49"/>
      <c r="AB45" s="49"/>
      <c r="AC45" s="49"/>
    </row>
    <row r="46" spans="2:29" ht="47.25" customHeight="1">
      <c r="B46" s="660"/>
      <c r="C46" s="49"/>
      <c r="D46" s="49"/>
      <c r="E46" s="49"/>
      <c r="F46" s="681"/>
      <c r="G46" s="663"/>
      <c r="H46" s="218" t="s">
        <v>194</v>
      </c>
      <c r="I46" s="392" t="s">
        <v>195</v>
      </c>
      <c r="J46" s="682"/>
      <c r="K46" s="284"/>
      <c r="L46"/>
      <c r="M46" s="225"/>
      <c r="N46" s="220" t="s">
        <v>196</v>
      </c>
      <c r="O46" s="683">
        <f>B62</f>
        <v>0.27</v>
      </c>
      <c r="P46" s="683">
        <f>B70</f>
        <v>0.37</v>
      </c>
      <c r="Q46" s="683">
        <f>B78</f>
        <v>0.47</v>
      </c>
      <c r="R46" s="683">
        <f>B86</f>
        <v>0.56999999999999995</v>
      </c>
      <c r="S46" s="683">
        <f>B94</f>
        <v>0.77</v>
      </c>
      <c r="T46" s="683">
        <f>B102</f>
        <v>1</v>
      </c>
      <c r="U46" s="220" t="s">
        <v>174</v>
      </c>
      <c r="V46" s="471" t="s">
        <v>96</v>
      </c>
      <c r="W46" s="472"/>
      <c r="X46" s="49"/>
      <c r="Y46" s="49"/>
      <c r="Z46" s="49"/>
      <c r="AA46" s="49"/>
      <c r="AB46" s="49"/>
      <c r="AC46" s="49"/>
    </row>
    <row r="47" spans="2:29" ht="15.75">
      <c r="B47" s="234" t="s">
        <v>197</v>
      </c>
      <c r="C47" s="213">
        <f>'AMI &amp; Rent 2025'!A5</f>
        <v>162000</v>
      </c>
      <c r="D47" s="684" t="s">
        <v>198</v>
      </c>
      <c r="E47" s="49"/>
      <c r="F47" s="685" t="s">
        <v>199</v>
      </c>
      <c r="G47" s="299" t="s">
        <v>200</v>
      </c>
      <c r="H47" s="686">
        <f>'AMI &amp; Rent 2025'!F5</f>
        <v>96</v>
      </c>
      <c r="I47" s="686">
        <f>'AMI &amp; Rent 2025'!E5</f>
        <v>111</v>
      </c>
      <c r="J47" s="687"/>
      <c r="K47" s="284"/>
      <c r="L47"/>
      <c r="M47" s="227" t="s">
        <v>200</v>
      </c>
      <c r="N47" s="688">
        <f>I56</f>
        <v>0</v>
      </c>
      <c r="O47" s="688">
        <f>I64</f>
        <v>0</v>
      </c>
      <c r="P47" s="688">
        <f>I72</f>
        <v>0</v>
      </c>
      <c r="Q47" s="688">
        <f>I80</f>
        <v>0</v>
      </c>
      <c r="R47" s="688">
        <f>I88</f>
        <v>0</v>
      </c>
      <c r="S47" s="688">
        <f>I96</f>
        <v>0</v>
      </c>
      <c r="T47" s="688">
        <f>I104</f>
        <v>0</v>
      </c>
      <c r="U47" s="688">
        <v>0</v>
      </c>
      <c r="V47" s="688">
        <f>SUM(N47:U47)</f>
        <v>0</v>
      </c>
      <c r="W47" s="689" t="e">
        <f>V47/$V$51</f>
        <v>#DIV/0!</v>
      </c>
      <c r="X47" s="49"/>
      <c r="Y47" s="49"/>
      <c r="Z47" s="49"/>
      <c r="AA47" s="49"/>
      <c r="AB47" s="49"/>
      <c r="AC47" s="235" t="s">
        <v>201</v>
      </c>
    </row>
    <row r="48" spans="2:29" ht="15.75">
      <c r="B48" s="690"/>
      <c r="C48" s="351">
        <f>'AMI &amp; Rent 2025'!A6</f>
        <v>2780</v>
      </c>
      <c r="D48" s="691" t="s">
        <v>202</v>
      </c>
      <c r="E48" s="49"/>
      <c r="F48" s="685" t="s">
        <v>203</v>
      </c>
      <c r="G48" s="299" t="s">
        <v>204</v>
      </c>
      <c r="H48" s="686">
        <f>'AMI &amp; Rent 2025'!F6</f>
        <v>109</v>
      </c>
      <c r="I48" s="686">
        <f>'AMI &amp; Rent 2025'!E6</f>
        <v>127</v>
      </c>
      <c r="J48" s="687"/>
      <c r="K48" s="284"/>
      <c r="L48"/>
      <c r="M48" s="228" t="s">
        <v>204</v>
      </c>
      <c r="N48" s="692">
        <f>I57</f>
        <v>0</v>
      </c>
      <c r="O48" s="692">
        <f>I65</f>
        <v>0</v>
      </c>
      <c r="P48" s="692">
        <f>I73</f>
        <v>0</v>
      </c>
      <c r="Q48" s="692">
        <f>I81</f>
        <v>0</v>
      </c>
      <c r="R48" s="692">
        <f>I89</f>
        <v>0</v>
      </c>
      <c r="S48" s="692">
        <f>I97</f>
        <v>0</v>
      </c>
      <c r="T48" s="692">
        <f>I105</f>
        <v>0</v>
      </c>
      <c r="U48" s="692">
        <v>0</v>
      </c>
      <c r="V48" s="692">
        <f>SUM(N48:U48)</f>
        <v>0</v>
      </c>
      <c r="W48" s="693" t="e">
        <f>V48/$V$51</f>
        <v>#DIV/0!</v>
      </c>
      <c r="X48" s="49"/>
      <c r="Y48" s="49"/>
      <c r="Z48" s="49"/>
      <c r="AA48" s="49"/>
      <c r="AB48" s="49"/>
      <c r="AC48" s="235" t="s">
        <v>194</v>
      </c>
    </row>
    <row r="49" spans="2:29">
      <c r="B49" s="660"/>
      <c r="C49" s="49"/>
      <c r="D49" s="49"/>
      <c r="E49" s="49"/>
      <c r="F49" s="685" t="s">
        <v>205</v>
      </c>
      <c r="G49" s="299" t="s">
        <v>206</v>
      </c>
      <c r="H49" s="686">
        <f>'AMI &amp; Rent 2025'!F7</f>
        <v>144</v>
      </c>
      <c r="I49" s="686">
        <f>'AMI &amp; Rent 2025'!E7</f>
        <v>170</v>
      </c>
      <c r="J49" s="687"/>
      <c r="K49" s="300"/>
      <c r="L49"/>
      <c r="M49" s="228" t="s">
        <v>206</v>
      </c>
      <c r="N49" s="692">
        <f>I58</f>
        <v>0</v>
      </c>
      <c r="O49" s="692">
        <f>I66</f>
        <v>0</v>
      </c>
      <c r="P49" s="692">
        <f>I74</f>
        <v>0</v>
      </c>
      <c r="Q49" s="692">
        <f>I82</f>
        <v>0</v>
      </c>
      <c r="R49" s="692">
        <f>I90</f>
        <v>0</v>
      </c>
      <c r="S49" s="692">
        <f>I98</f>
        <v>0</v>
      </c>
      <c r="T49" s="692">
        <f>I106</f>
        <v>0</v>
      </c>
      <c r="U49" s="694">
        <f>C23</f>
        <v>0</v>
      </c>
      <c r="V49" s="692">
        <f>SUM(N49:U49)</f>
        <v>0</v>
      </c>
      <c r="W49" s="693" t="e">
        <f>V49/$V$51</f>
        <v>#DIV/0!</v>
      </c>
      <c r="X49" s="49"/>
      <c r="Y49" s="49"/>
      <c r="Z49" s="49"/>
      <c r="AA49" s="49"/>
      <c r="AB49" s="49"/>
      <c r="AC49" s="235" t="s">
        <v>195</v>
      </c>
    </row>
    <row r="50" spans="2:29" ht="15" customHeight="1">
      <c r="B50" s="695" t="s">
        <v>207</v>
      </c>
      <c r="C50" s="696" t="s">
        <v>195</v>
      </c>
      <c r="D50" s="696"/>
      <c r="E50" s="49"/>
      <c r="F50" s="697" t="s">
        <v>208</v>
      </c>
      <c r="G50" s="698" t="s">
        <v>209</v>
      </c>
      <c r="H50" s="699">
        <f>'AMI &amp; Rent 2025'!F8</f>
        <v>178</v>
      </c>
      <c r="I50" s="699">
        <f>'AMI &amp; Rent 2025'!E8</f>
        <v>212</v>
      </c>
      <c r="J50" s="687"/>
      <c r="K50" s="700"/>
      <c r="L50"/>
      <c r="M50" s="229" t="s">
        <v>209</v>
      </c>
      <c r="N50" s="701">
        <f>I59</f>
        <v>0</v>
      </c>
      <c r="O50" s="701">
        <f>I67</f>
        <v>0</v>
      </c>
      <c r="P50" s="701">
        <f>I75</f>
        <v>0</v>
      </c>
      <c r="Q50" s="701">
        <f>I83</f>
        <v>0</v>
      </c>
      <c r="R50" s="701">
        <f>I91</f>
        <v>0</v>
      </c>
      <c r="S50" s="701">
        <f>I99</f>
        <v>0</v>
      </c>
      <c r="T50" s="701">
        <f>I107</f>
        <v>0</v>
      </c>
      <c r="U50" s="701">
        <v>0</v>
      </c>
      <c r="V50" s="701">
        <f>SUM(N50:U50)</f>
        <v>0</v>
      </c>
      <c r="W50" s="702" t="e">
        <f>V50/$V$51</f>
        <v>#DIV/0!</v>
      </c>
      <c r="X50" s="49"/>
      <c r="Y50" s="49"/>
      <c r="Z50" s="49"/>
      <c r="AA50" s="49"/>
      <c r="AB50" s="49"/>
      <c r="AC50" s="235" t="s">
        <v>210</v>
      </c>
    </row>
    <row r="51" spans="2:29">
      <c r="B51" s="695"/>
      <c r="C51" s="696"/>
      <c r="D51" s="696"/>
      <c r="E51" s="49"/>
      <c r="F51" s="703"/>
      <c r="G51" s="704"/>
      <c r="H51" s="299"/>
      <c r="I51" s="284"/>
      <c r="J51" s="705"/>
      <c r="K51" s="219"/>
      <c r="L51"/>
      <c r="M51" s="225"/>
      <c r="N51" s="284">
        <f>SUM(N47:N50)</f>
        <v>0</v>
      </c>
      <c r="O51" s="284">
        <f>SUM(O47:O50)</f>
        <v>0</v>
      </c>
      <c r="P51" s="284">
        <f t="shared" ref="P51:V51" si="1">SUM(P47:P50)</f>
        <v>0</v>
      </c>
      <c r="Q51" s="284">
        <f t="shared" si="1"/>
        <v>0</v>
      </c>
      <c r="R51" s="284">
        <f t="shared" si="1"/>
        <v>0</v>
      </c>
      <c r="S51" s="284">
        <f t="shared" si="1"/>
        <v>0</v>
      </c>
      <c r="T51" s="284">
        <f t="shared" si="1"/>
        <v>0</v>
      </c>
      <c r="U51" s="284">
        <f t="shared" si="1"/>
        <v>0</v>
      </c>
      <c r="V51" s="284">
        <f t="shared" si="1"/>
        <v>0</v>
      </c>
      <c r="W51" s="706"/>
      <c r="X51" s="49"/>
      <c r="Y51" s="49"/>
      <c r="Z51" s="49"/>
      <c r="AA51" s="49"/>
      <c r="AB51" s="49"/>
      <c r="AC51" s="235" t="s">
        <v>211</v>
      </c>
    </row>
    <row r="52" spans="2:29">
      <c r="B52" s="660"/>
      <c r="C52" s="49"/>
      <c r="D52" s="49"/>
      <c r="E52" s="49"/>
      <c r="F52" s="703"/>
      <c r="G52" s="704"/>
      <c r="H52" s="299"/>
      <c r="I52" s="284"/>
      <c r="J52" s="705"/>
      <c r="K52" s="219"/>
      <c r="L52"/>
      <c r="M52" s="226"/>
      <c r="N52" s="230" t="e">
        <f>N51/$V$51</f>
        <v>#DIV/0!</v>
      </c>
      <c r="O52" s="230" t="e">
        <f>O51/$V$51</f>
        <v>#DIV/0!</v>
      </c>
      <c r="P52" s="230" t="e">
        <f t="shared" ref="P52:U52" si="2">P51/$V$51</f>
        <v>#DIV/0!</v>
      </c>
      <c r="Q52" s="230" t="e">
        <f t="shared" si="2"/>
        <v>#DIV/0!</v>
      </c>
      <c r="R52" s="230" t="e">
        <f t="shared" si="2"/>
        <v>#DIV/0!</v>
      </c>
      <c r="S52" s="230" t="e">
        <f t="shared" si="2"/>
        <v>#DIV/0!</v>
      </c>
      <c r="T52" s="230" t="e">
        <f t="shared" si="2"/>
        <v>#DIV/0!</v>
      </c>
      <c r="U52" s="230" t="e">
        <f t="shared" si="2"/>
        <v>#DIV/0!</v>
      </c>
      <c r="V52" s="707"/>
      <c r="W52" s="708"/>
      <c r="X52" s="49"/>
      <c r="Y52" s="49"/>
      <c r="Z52" s="49"/>
      <c r="AA52" s="49"/>
      <c r="AB52" s="49"/>
      <c r="AC52" s="235"/>
    </row>
    <row r="53" spans="2:29" ht="15.75">
      <c r="B53" s="709" t="s">
        <v>212</v>
      </c>
      <c r="C53" s="49"/>
      <c r="D53" s="49"/>
      <c r="E53" s="624"/>
      <c r="F53" s="624"/>
      <c r="G53" s="710"/>
      <c r="H53" s="710"/>
      <c r="I53" s="710"/>
      <c r="J53" s="711"/>
      <c r="K53" s="284"/>
      <c r="L53"/>
      <c r="M53"/>
      <c r="N53"/>
      <c r="O53" s="49"/>
      <c r="P53" s="49"/>
      <c r="Q53" s="49"/>
      <c r="R53" s="49"/>
      <c r="S53" s="49"/>
      <c r="T53" s="49"/>
      <c r="U53" s="49"/>
      <c r="V53" s="49"/>
      <c r="W53" s="49"/>
      <c r="X53" s="49"/>
      <c r="Y53" s="49"/>
      <c r="Z53" s="49"/>
      <c r="AA53" s="49"/>
      <c r="AB53" s="49"/>
      <c r="AC53" s="49"/>
    </row>
    <row r="54" spans="2:29" ht="15.75">
      <c r="B54" s="285" t="s">
        <v>213</v>
      </c>
      <c r="C54" s="712" t="s">
        <v>214</v>
      </c>
      <c r="D54" s="713">
        <f>$C$47*B54</f>
        <v>0</v>
      </c>
      <c r="E54" s="41" t="s">
        <v>215</v>
      </c>
      <c r="F54" s="49"/>
      <c r="G54" s="284"/>
      <c r="H54" s="284"/>
      <c r="I54" s="284"/>
      <c r="J54" s="705"/>
      <c r="K54" s="284"/>
      <c r="L54"/>
      <c r="M54"/>
      <c r="N54"/>
      <c r="O54" s="49"/>
      <c r="P54" s="49"/>
      <c r="Q54" s="49"/>
      <c r="R54" s="49"/>
      <c r="S54" s="49"/>
      <c r="T54" s="49"/>
      <c r="U54" s="49"/>
      <c r="V54" s="49"/>
      <c r="W54" s="49"/>
      <c r="X54" s="49"/>
      <c r="Y54" s="49"/>
      <c r="Z54" s="49"/>
      <c r="AA54" s="49"/>
      <c r="AB54" s="49"/>
      <c r="AC54" s="49"/>
    </row>
    <row r="55" spans="2:29" ht="30">
      <c r="B55" s="714" t="s">
        <v>216</v>
      </c>
      <c r="C55" s="299" t="s">
        <v>217</v>
      </c>
      <c r="D55" s="715" t="s">
        <v>218</v>
      </c>
      <c r="E55" s="49" t="s">
        <v>219</v>
      </c>
      <c r="F55" s="716" t="s">
        <v>220</v>
      </c>
      <c r="G55" s="717" t="s">
        <v>221</v>
      </c>
      <c r="H55" s="718" t="s">
        <v>222</v>
      </c>
      <c r="I55" s="300" t="s">
        <v>223</v>
      </c>
      <c r="J55" s="719" t="s">
        <v>224</v>
      </c>
      <c r="K55" s="49"/>
      <c r="L55"/>
      <c r="M55"/>
      <c r="N55"/>
      <c r="O55" s="49"/>
      <c r="P55" s="49"/>
      <c r="Q55" s="49"/>
      <c r="R55" s="49"/>
      <c r="S55" s="49"/>
      <c r="T55" s="49"/>
      <c r="U55" s="49"/>
      <c r="V55" s="49"/>
      <c r="W55" s="49"/>
      <c r="X55" s="49"/>
      <c r="Y55" s="49"/>
      <c r="Z55" s="49"/>
      <c r="AA55" s="49"/>
      <c r="AB55" s="49"/>
      <c r="AC55" s="49"/>
    </row>
    <row r="56" spans="2:29">
      <c r="B56" s="720" t="s">
        <v>200</v>
      </c>
      <c r="C56" s="299">
        <v>1</v>
      </c>
      <c r="D56" s="721">
        <v>0.6</v>
      </c>
      <c r="E56" s="703">
        <f>$D$54*D56</f>
        <v>0</v>
      </c>
      <c r="F56" s="700">
        <f>ROUNDDOWN(E56*0.3/12,0)</f>
        <v>0</v>
      </c>
      <c r="G56" s="722">
        <f>G64</f>
        <v>-111</v>
      </c>
      <c r="H56" s="723">
        <v>215</v>
      </c>
      <c r="I56" s="724"/>
      <c r="J56" s="725">
        <f>H56*I56*12</f>
        <v>0</v>
      </c>
      <c r="K56" s="49"/>
      <c r="L56"/>
      <c r="M56"/>
      <c r="N56"/>
      <c r="O56" s="49"/>
      <c r="P56" s="49"/>
      <c r="Q56" s="49"/>
      <c r="R56" s="49"/>
      <c r="S56" s="49"/>
      <c r="T56" s="49"/>
      <c r="U56" s="49"/>
      <c r="V56" s="49"/>
      <c r="W56" s="49"/>
      <c r="X56" s="49"/>
      <c r="Y56" s="49"/>
      <c r="Z56" s="49"/>
      <c r="AA56" s="49"/>
      <c r="AB56" s="49"/>
      <c r="AC56" s="49"/>
    </row>
    <row r="57" spans="2:29">
      <c r="B57" s="720" t="s">
        <v>204</v>
      </c>
      <c r="C57" s="299">
        <v>1.5</v>
      </c>
      <c r="D57" s="721">
        <v>0.75</v>
      </c>
      <c r="E57" s="703">
        <f>$D$54*D57</f>
        <v>0</v>
      </c>
      <c r="F57" s="700">
        <f>ROUND(E57*0.3/12,0)</f>
        <v>0</v>
      </c>
      <c r="G57" s="722">
        <f>G65</f>
        <v>-127</v>
      </c>
      <c r="H57" s="723">
        <v>283</v>
      </c>
      <c r="I57" s="724"/>
      <c r="J57" s="725">
        <f>H57*I57*12</f>
        <v>0</v>
      </c>
      <c r="K57" s="49"/>
      <c r="L57"/>
      <c r="M57"/>
      <c r="N57"/>
      <c r="O57" s="49"/>
      <c r="P57" s="49"/>
      <c r="Q57" s="49"/>
      <c r="R57" s="49"/>
      <c r="S57" s="49"/>
      <c r="T57" s="49"/>
      <c r="U57" s="49"/>
      <c r="V57" s="49"/>
      <c r="W57" s="49"/>
      <c r="X57" s="49"/>
      <c r="Y57" s="49"/>
      <c r="Z57" s="49"/>
      <c r="AA57" s="49"/>
      <c r="AB57" s="49"/>
      <c r="AC57" s="49"/>
    </row>
    <row r="58" spans="2:29">
      <c r="B58" s="720" t="s">
        <v>206</v>
      </c>
      <c r="C58" s="299">
        <v>3</v>
      </c>
      <c r="D58" s="721">
        <v>0.9</v>
      </c>
      <c r="E58" s="703">
        <f>$D$54*D58</f>
        <v>0</v>
      </c>
      <c r="F58" s="700">
        <f>ROUNDDOWN(E58*0.3/12,0)</f>
        <v>0</v>
      </c>
      <c r="G58" s="722">
        <f>G66</f>
        <v>-170</v>
      </c>
      <c r="H58" s="723">
        <v>425</v>
      </c>
      <c r="I58" s="724"/>
      <c r="J58" s="725">
        <f>H58*I58*12</f>
        <v>0</v>
      </c>
      <c r="K58" s="49"/>
      <c r="L58"/>
      <c r="M58"/>
      <c r="N58"/>
      <c r="O58" s="49"/>
      <c r="P58" s="49"/>
      <c r="Q58" s="49"/>
      <c r="R58" s="49"/>
      <c r="S58" s="49"/>
      <c r="T58" s="49"/>
      <c r="U58" s="49"/>
      <c r="V58" s="49"/>
      <c r="W58" s="49"/>
      <c r="X58" s="49"/>
      <c r="Y58" s="49"/>
      <c r="Z58" s="49"/>
      <c r="AA58" s="49"/>
      <c r="AB58" s="49"/>
      <c r="AC58" s="49"/>
    </row>
    <row r="59" spans="2:29">
      <c r="B59" s="720" t="s">
        <v>209</v>
      </c>
      <c r="C59" s="299">
        <v>4.5</v>
      </c>
      <c r="D59" s="721">
        <v>1.04</v>
      </c>
      <c r="E59" s="703">
        <f>$D$54*D59</f>
        <v>0</v>
      </c>
      <c r="F59" s="700">
        <f>ROUNDDOWN(E59*0.3/12,0)</f>
        <v>0</v>
      </c>
      <c r="G59" s="722">
        <f>G67</f>
        <v>-212</v>
      </c>
      <c r="H59" s="723">
        <v>512</v>
      </c>
      <c r="I59" s="724"/>
      <c r="J59" s="725">
        <f>H59*I59*12</f>
        <v>0</v>
      </c>
      <c r="K59" s="49"/>
      <c r="L59"/>
      <c r="M59"/>
      <c r="N59"/>
      <c r="O59" s="49"/>
      <c r="P59" s="49"/>
      <c r="Q59" s="49"/>
      <c r="R59" s="49"/>
      <c r="S59" s="49"/>
      <c r="T59" s="49"/>
      <c r="U59" s="49"/>
      <c r="V59" s="49"/>
      <c r="W59" s="49"/>
      <c r="X59" s="49"/>
      <c r="Y59" s="49"/>
      <c r="Z59" s="49"/>
      <c r="AA59" s="49"/>
      <c r="AB59" s="49"/>
      <c r="AC59" s="49"/>
    </row>
    <row r="60" spans="2:29">
      <c r="B60" s="660"/>
      <c r="C60" s="284"/>
      <c r="D60" s="284"/>
      <c r="E60" s="284"/>
      <c r="F60" s="49"/>
      <c r="G60" s="726"/>
      <c r="H60" s="726"/>
      <c r="I60" s="284">
        <f>SUM(I56:I59)</f>
        <v>0</v>
      </c>
      <c r="J60" s="725">
        <f>SUM(J56:J59)</f>
        <v>0</v>
      </c>
      <c r="K60" s="284"/>
      <c r="L60"/>
      <c r="M60"/>
      <c r="N60"/>
      <c r="O60" s="49"/>
      <c r="P60" s="49"/>
      <c r="Q60" s="49"/>
      <c r="R60" s="49"/>
      <c r="S60" s="49"/>
      <c r="T60" s="49"/>
      <c r="U60" s="49"/>
      <c r="V60" s="49"/>
      <c r="W60" s="49"/>
      <c r="X60" s="49"/>
      <c r="Y60" s="49"/>
      <c r="Z60" s="49"/>
      <c r="AA60" s="49"/>
      <c r="AB60" s="49"/>
      <c r="AC60" s="49"/>
    </row>
    <row r="61" spans="2:29">
      <c r="B61" s="660"/>
      <c r="C61" s="710"/>
      <c r="D61" s="710"/>
      <c r="E61" s="710"/>
      <c r="F61" s="624"/>
      <c r="G61" s="727"/>
      <c r="H61" s="727"/>
      <c r="I61" s="710"/>
      <c r="J61" s="711"/>
      <c r="K61" s="284"/>
      <c r="L61"/>
      <c r="M61"/>
      <c r="N61"/>
      <c r="O61" s="49"/>
      <c r="P61" s="49"/>
      <c r="Q61" s="49"/>
      <c r="R61" s="49"/>
      <c r="S61" s="49"/>
      <c r="T61" s="49"/>
      <c r="U61" s="49"/>
      <c r="V61" s="49"/>
      <c r="W61" s="49"/>
      <c r="X61" s="49"/>
      <c r="Y61" s="49"/>
      <c r="Z61" s="49"/>
      <c r="AA61" s="49"/>
      <c r="AB61" s="49"/>
      <c r="AC61" s="49"/>
    </row>
    <row r="62" spans="2:29" ht="15.75">
      <c r="B62" s="285">
        <v>0.27</v>
      </c>
      <c r="C62" s="712" t="s">
        <v>214</v>
      </c>
      <c r="D62" s="713">
        <f>$C$47*B62</f>
        <v>43740</v>
      </c>
      <c r="E62" s="284"/>
      <c r="F62" s="49"/>
      <c r="G62" s="726"/>
      <c r="H62" s="726"/>
      <c r="I62" s="284"/>
      <c r="J62" s="705"/>
      <c r="K62" s="284"/>
      <c r="L62"/>
      <c r="M62"/>
      <c r="N62"/>
      <c r="O62" s="49"/>
      <c r="P62" s="49"/>
      <c r="Q62" s="49"/>
      <c r="R62" s="49"/>
      <c r="S62" s="49"/>
      <c r="T62" s="49"/>
      <c r="U62" s="49"/>
      <c r="V62" s="49"/>
      <c r="W62" s="49"/>
      <c r="X62" s="49"/>
      <c r="Y62" s="49"/>
      <c r="Z62" s="49"/>
      <c r="AA62" s="49"/>
      <c r="AB62" s="49"/>
      <c r="AC62" s="49"/>
    </row>
    <row r="63" spans="2:29" ht="30">
      <c r="B63" s="714" t="s">
        <v>216</v>
      </c>
      <c r="C63" s="299" t="s">
        <v>217</v>
      </c>
      <c r="D63" s="715" t="s">
        <v>218</v>
      </c>
      <c r="E63" s="49" t="s">
        <v>219</v>
      </c>
      <c r="F63" s="716" t="s">
        <v>220</v>
      </c>
      <c r="G63" s="717" t="s">
        <v>221</v>
      </c>
      <c r="H63" s="718" t="s">
        <v>222</v>
      </c>
      <c r="I63" s="300" t="s">
        <v>223</v>
      </c>
      <c r="J63" s="719" t="s">
        <v>224</v>
      </c>
      <c r="K63" s="49"/>
      <c r="L63"/>
      <c r="M63"/>
      <c r="N63"/>
      <c r="O63" s="49"/>
      <c r="P63" s="49"/>
      <c r="Q63" s="49"/>
      <c r="R63" s="49"/>
      <c r="S63" s="49"/>
      <c r="T63" s="49"/>
      <c r="U63" s="49"/>
      <c r="V63" s="49"/>
      <c r="W63" s="49"/>
      <c r="X63" s="49"/>
      <c r="Y63" s="49"/>
      <c r="Z63" s="49"/>
      <c r="AA63" s="49"/>
      <c r="AB63" s="49"/>
      <c r="AC63" s="49"/>
    </row>
    <row r="64" spans="2:29">
      <c r="B64" s="720" t="s">
        <v>200</v>
      </c>
      <c r="C64" s="299">
        <v>1</v>
      </c>
      <c r="D64" s="721">
        <v>0.6</v>
      </c>
      <c r="E64" s="703">
        <f>$D$62*D64</f>
        <v>26244</v>
      </c>
      <c r="F64" s="700">
        <f>'AMI &amp; Rent 2025'!E22</f>
        <v>656</v>
      </c>
      <c r="G64" s="722">
        <f>IF($C$50="No Utilities",0,IF($C$50="Electricity &amp; Gas Allowance",H47+J47,INDEX($G$46:$J$50,MATCH(B64,$G$46:$G$50,0),MATCH($C$50,$G$46:$J$46,0))))*-1</f>
        <v>-111</v>
      </c>
      <c r="H64" s="723">
        <f>F64+G64</f>
        <v>545</v>
      </c>
      <c r="I64" s="724"/>
      <c r="J64" s="725">
        <f>H64*I64*12</f>
        <v>0</v>
      </c>
      <c r="K64" s="49"/>
      <c r="L64"/>
      <c r="M64"/>
      <c r="N64"/>
      <c r="O64" s="49"/>
      <c r="P64" s="49"/>
      <c r="Q64" s="49"/>
      <c r="R64" s="49"/>
      <c r="S64" s="49"/>
      <c r="T64" s="49"/>
      <c r="U64" s="49"/>
      <c r="V64" s="49"/>
      <c r="W64" s="49"/>
      <c r="X64" s="49"/>
      <c r="Y64" s="49"/>
      <c r="Z64" s="49"/>
      <c r="AA64" s="49"/>
      <c r="AB64" s="49"/>
      <c r="AC64" s="49"/>
    </row>
    <row r="65" spans="2:14">
      <c r="B65" s="720" t="s">
        <v>204</v>
      </c>
      <c r="C65" s="299">
        <v>1.5</v>
      </c>
      <c r="D65" s="721">
        <v>0.75</v>
      </c>
      <c r="E65" s="703">
        <f>$D$62*D65</f>
        <v>32805</v>
      </c>
      <c r="F65" s="700">
        <f>'AMI &amp; Rent 2025'!E23</f>
        <v>820</v>
      </c>
      <c r="G65" s="722">
        <f>IF($C$50="No Utilities",0,IF($C$50="Electricity &amp; Gas Allowance",H48+J48,INDEX($G$46:$J$50,MATCH(B65,$G$46:$G$50,0),MATCH($C$50,$G$46:$J$46,0))))*-1</f>
        <v>-127</v>
      </c>
      <c r="H65" s="723">
        <f>F65+G65</f>
        <v>693</v>
      </c>
      <c r="I65" s="724"/>
      <c r="J65" s="725">
        <f>H65*I65*12</f>
        <v>0</v>
      </c>
      <c r="K65" s="49"/>
      <c r="L65"/>
      <c r="M65"/>
      <c r="N65"/>
    </row>
    <row r="66" spans="2:14">
      <c r="B66" s="720" t="s">
        <v>206</v>
      </c>
      <c r="C66" s="299">
        <v>3</v>
      </c>
      <c r="D66" s="721">
        <v>0.9</v>
      </c>
      <c r="E66" s="703">
        <f>$D$62*D66</f>
        <v>39366</v>
      </c>
      <c r="F66" s="700">
        <f>'AMI &amp; Rent 2025'!E24</f>
        <v>984</v>
      </c>
      <c r="G66" s="722">
        <f>IF($C$50="No Utilities",0,IF($C$50="Electricity &amp; Gas Allowance",H49+J49,INDEX($G$46:$J$50,MATCH(B66,$G$46:$G$50,0),MATCH($C$50,$G$46:$J$46,0))))*-1</f>
        <v>-170</v>
      </c>
      <c r="H66" s="723">
        <f>F66+G66</f>
        <v>814</v>
      </c>
      <c r="I66" s="724"/>
      <c r="J66" s="725">
        <f>H66*I66*12</f>
        <v>0</v>
      </c>
      <c r="K66" s="49"/>
      <c r="L66"/>
      <c r="M66"/>
      <c r="N66"/>
    </row>
    <row r="67" spans="2:14">
      <c r="B67" s="720" t="s">
        <v>209</v>
      </c>
      <c r="C67" s="299">
        <v>4.5</v>
      </c>
      <c r="D67" s="721">
        <v>1.04</v>
      </c>
      <c r="E67" s="703">
        <f>$D$62*D67</f>
        <v>45489.599999999999</v>
      </c>
      <c r="F67" s="700">
        <f>'AMI &amp; Rent 2025'!E25</f>
        <v>1137</v>
      </c>
      <c r="G67" s="722">
        <f>IF($C$50="No Utilities",0,IF($C$50="Electricity &amp; Gas Allowance",H50+J50,INDEX($G$46:$J$50,MATCH(B67,$G$46:$G$50,0),MATCH($C$50,$G$46:$J$46,0))))*-1</f>
        <v>-212</v>
      </c>
      <c r="H67" s="723">
        <f>F67+G67</f>
        <v>925</v>
      </c>
      <c r="I67" s="724"/>
      <c r="J67" s="725">
        <f>H67*I67*12</f>
        <v>0</v>
      </c>
      <c r="K67" s="49"/>
      <c r="L67"/>
      <c r="M67"/>
      <c r="N67"/>
    </row>
    <row r="68" spans="2:14">
      <c r="B68" s="660"/>
      <c r="C68" s="284"/>
      <c r="D68" s="284"/>
      <c r="E68" s="284"/>
      <c r="F68" s="49"/>
      <c r="G68" s="726"/>
      <c r="H68" s="726"/>
      <c r="I68" s="284">
        <f>SUM(I64:I67)</f>
        <v>0</v>
      </c>
      <c r="J68" s="725">
        <f>SUM(J64:J67)</f>
        <v>0</v>
      </c>
      <c r="K68" s="284"/>
      <c r="L68"/>
      <c r="M68"/>
      <c r="N68"/>
    </row>
    <row r="69" spans="2:14">
      <c r="B69" s="660"/>
      <c r="C69" s="710"/>
      <c r="D69" s="710"/>
      <c r="E69" s="710"/>
      <c r="F69" s="624"/>
      <c r="G69" s="727"/>
      <c r="H69" s="727"/>
      <c r="I69" s="710"/>
      <c r="J69" s="711"/>
      <c r="K69" s="284"/>
      <c r="L69"/>
      <c r="M69"/>
      <c r="N69"/>
    </row>
    <row r="70" spans="2:14" ht="15.75">
      <c r="B70" s="285">
        <v>0.37</v>
      </c>
      <c r="C70" s="712" t="s">
        <v>214</v>
      </c>
      <c r="D70" s="713">
        <f>$C$47*B70</f>
        <v>59940</v>
      </c>
      <c r="E70" s="284"/>
      <c r="F70" s="49"/>
      <c r="G70" s="726"/>
      <c r="H70" s="726"/>
      <c r="I70" s="284"/>
      <c r="J70" s="705"/>
      <c r="K70" s="284"/>
      <c r="L70"/>
      <c r="M70"/>
      <c r="N70"/>
    </row>
    <row r="71" spans="2:14" ht="30">
      <c r="B71" s="714" t="s">
        <v>216</v>
      </c>
      <c r="C71" s="299" t="s">
        <v>217</v>
      </c>
      <c r="D71" s="715" t="s">
        <v>218</v>
      </c>
      <c r="E71" s="49" t="s">
        <v>219</v>
      </c>
      <c r="F71" s="716" t="s">
        <v>220</v>
      </c>
      <c r="G71" s="718" t="s">
        <v>225</v>
      </c>
      <c r="H71" s="718" t="s">
        <v>222</v>
      </c>
      <c r="I71" s="300" t="s">
        <v>223</v>
      </c>
      <c r="J71" s="719" t="s">
        <v>224</v>
      </c>
      <c r="K71" s="49"/>
      <c r="L71"/>
      <c r="M71"/>
      <c r="N71"/>
    </row>
    <row r="72" spans="2:14">
      <c r="B72" s="720" t="s">
        <v>200</v>
      </c>
      <c r="C72" s="299">
        <v>1</v>
      </c>
      <c r="D72" s="721">
        <v>0.6</v>
      </c>
      <c r="E72" s="703">
        <f>$D$70*D72</f>
        <v>35964</v>
      </c>
      <c r="F72" s="700">
        <f>'AMI &amp; Rent 2025'!E34</f>
        <v>899</v>
      </c>
      <c r="G72" s="722">
        <f>G64</f>
        <v>-111</v>
      </c>
      <c r="H72" s="723">
        <f>F72+G72-1</f>
        <v>787</v>
      </c>
      <c r="I72" s="724"/>
      <c r="J72" s="725">
        <f>H72*I72*12</f>
        <v>0</v>
      </c>
      <c r="K72" s="49"/>
      <c r="L72"/>
      <c r="M72"/>
      <c r="N72"/>
    </row>
    <row r="73" spans="2:14">
      <c r="B73" s="720" t="s">
        <v>204</v>
      </c>
      <c r="C73" s="299">
        <v>1.5</v>
      </c>
      <c r="D73" s="721">
        <v>0.75</v>
      </c>
      <c r="E73" s="703">
        <f>$D$70*D73</f>
        <v>44955</v>
      </c>
      <c r="F73" s="700">
        <f>'AMI &amp; Rent 2025'!E35</f>
        <v>1123</v>
      </c>
      <c r="G73" s="722">
        <f>G65</f>
        <v>-127</v>
      </c>
      <c r="H73" s="723">
        <f>F73+G73</f>
        <v>996</v>
      </c>
      <c r="I73" s="724"/>
      <c r="J73" s="725">
        <f>H73*I73*12</f>
        <v>0</v>
      </c>
      <c r="K73" s="49"/>
      <c r="L73"/>
      <c r="M73"/>
      <c r="N73"/>
    </row>
    <row r="74" spans="2:14">
      <c r="B74" s="720" t="s">
        <v>206</v>
      </c>
      <c r="C74" s="299">
        <v>3</v>
      </c>
      <c r="D74" s="721">
        <v>0.9</v>
      </c>
      <c r="E74" s="703">
        <f>$D$70*D74</f>
        <v>53946</v>
      </c>
      <c r="F74" s="700">
        <f>'AMI &amp; Rent 2025'!E36</f>
        <v>1348</v>
      </c>
      <c r="G74" s="722">
        <f>G66</f>
        <v>-170</v>
      </c>
      <c r="H74" s="723">
        <f>F74+G74</f>
        <v>1178</v>
      </c>
      <c r="I74" s="724"/>
      <c r="J74" s="725">
        <f>H74*I74*12</f>
        <v>0</v>
      </c>
      <c r="K74" s="49"/>
      <c r="L74"/>
      <c r="M74"/>
      <c r="N74"/>
    </row>
    <row r="75" spans="2:14">
      <c r="B75" s="720" t="s">
        <v>209</v>
      </c>
      <c r="C75" s="299">
        <v>4.5</v>
      </c>
      <c r="D75" s="721">
        <v>1.04</v>
      </c>
      <c r="E75" s="703">
        <f>$D$70*D75</f>
        <v>62337.599999999999</v>
      </c>
      <c r="F75" s="700">
        <f>'AMI &amp; Rent 2025'!E37</f>
        <v>1558</v>
      </c>
      <c r="G75" s="722">
        <f>G67</f>
        <v>-212</v>
      </c>
      <c r="H75" s="723">
        <f>F75+G75</f>
        <v>1346</v>
      </c>
      <c r="I75" s="724"/>
      <c r="J75" s="725">
        <f>H75*I75*12</f>
        <v>0</v>
      </c>
      <c r="K75" s="49"/>
      <c r="L75"/>
      <c r="M75"/>
      <c r="N75"/>
    </row>
    <row r="76" spans="2:14">
      <c r="B76" s="660"/>
      <c r="C76" s="284"/>
      <c r="D76" s="284"/>
      <c r="E76" s="284"/>
      <c r="F76" s="49"/>
      <c r="G76" s="726"/>
      <c r="H76" s="726"/>
      <c r="I76" s="284">
        <f>SUM(I72:I75)</f>
        <v>0</v>
      </c>
      <c r="J76" s="725">
        <f>SUM(J72:J75)</f>
        <v>0</v>
      </c>
      <c r="K76" s="284"/>
      <c r="L76"/>
      <c r="M76"/>
      <c r="N76"/>
    </row>
    <row r="77" spans="2:14">
      <c r="B77" s="660"/>
      <c r="C77" s="710"/>
      <c r="D77" s="710"/>
      <c r="E77" s="710"/>
      <c r="F77" s="624"/>
      <c r="G77" s="727"/>
      <c r="H77" s="727"/>
      <c r="I77" s="710"/>
      <c r="J77" s="711"/>
      <c r="K77" s="284"/>
      <c r="L77"/>
      <c r="M77"/>
      <c r="N77"/>
    </row>
    <row r="78" spans="2:14" ht="15.75">
      <c r="B78" s="285">
        <v>0.47</v>
      </c>
      <c r="C78" s="712" t="s">
        <v>214</v>
      </c>
      <c r="D78" s="713">
        <f>$C$47*B78</f>
        <v>76140</v>
      </c>
      <c r="E78" s="284"/>
      <c r="F78" s="49"/>
      <c r="G78" s="726"/>
      <c r="H78" s="726"/>
      <c r="I78" s="284"/>
      <c r="J78" s="705"/>
      <c r="K78" s="284"/>
      <c r="L78"/>
      <c r="M78"/>
      <c r="N78"/>
    </row>
    <row r="79" spans="2:14" ht="30">
      <c r="B79" s="714" t="s">
        <v>216</v>
      </c>
      <c r="C79" s="299" t="s">
        <v>217</v>
      </c>
      <c r="D79" s="715" t="s">
        <v>218</v>
      </c>
      <c r="E79" s="49" t="s">
        <v>219</v>
      </c>
      <c r="F79" s="716" t="s">
        <v>220</v>
      </c>
      <c r="G79" s="717" t="s">
        <v>225</v>
      </c>
      <c r="H79" s="718" t="s">
        <v>222</v>
      </c>
      <c r="I79" s="300" t="s">
        <v>223</v>
      </c>
      <c r="J79" s="719" t="s">
        <v>224</v>
      </c>
      <c r="K79" s="49"/>
      <c r="L79"/>
      <c r="M79"/>
      <c r="N79"/>
    </row>
    <row r="80" spans="2:14">
      <c r="B80" s="720" t="s">
        <v>200</v>
      </c>
      <c r="C80" s="299">
        <v>1</v>
      </c>
      <c r="D80" s="721">
        <v>0.6</v>
      </c>
      <c r="E80" s="703">
        <f>$D$78*D80</f>
        <v>45684</v>
      </c>
      <c r="F80" s="700">
        <f>'AMI &amp; Rent 2025'!E47</f>
        <v>1142</v>
      </c>
      <c r="G80" s="722">
        <f>G64</f>
        <v>-111</v>
      </c>
      <c r="H80" s="723">
        <f>F80+G80</f>
        <v>1031</v>
      </c>
      <c r="I80" s="724"/>
      <c r="J80" s="725">
        <f>H80*I80*12</f>
        <v>0</v>
      </c>
      <c r="K80" s="49"/>
      <c r="L80"/>
      <c r="M80"/>
      <c r="N80"/>
    </row>
    <row r="81" spans="2:14">
      <c r="B81" s="720" t="s">
        <v>204</v>
      </c>
      <c r="C81" s="299">
        <v>1.5</v>
      </c>
      <c r="D81" s="721">
        <v>0.75</v>
      </c>
      <c r="E81" s="703">
        <f>$D$78*D81</f>
        <v>57105</v>
      </c>
      <c r="F81" s="700">
        <f>'AMI &amp; Rent 2025'!E48</f>
        <v>1427</v>
      </c>
      <c r="G81" s="722">
        <f>G65</f>
        <v>-127</v>
      </c>
      <c r="H81" s="723">
        <f>F81+G81</f>
        <v>1300</v>
      </c>
      <c r="I81" s="724"/>
      <c r="J81" s="725">
        <f>H81*I81*12</f>
        <v>0</v>
      </c>
      <c r="K81" s="49"/>
      <c r="L81"/>
      <c r="M81"/>
      <c r="N81"/>
    </row>
    <row r="82" spans="2:14">
      <c r="B82" s="720" t="s">
        <v>206</v>
      </c>
      <c r="C82" s="299">
        <v>3</v>
      </c>
      <c r="D82" s="721">
        <v>0.9</v>
      </c>
      <c r="E82" s="703">
        <f>$D$78*D82</f>
        <v>68526</v>
      </c>
      <c r="F82" s="700">
        <f>'AMI &amp; Rent 2025'!E49</f>
        <v>1713</v>
      </c>
      <c r="G82" s="722">
        <f>G66</f>
        <v>-170</v>
      </c>
      <c r="H82" s="723">
        <f>F82+G82</f>
        <v>1543</v>
      </c>
      <c r="I82" s="724"/>
      <c r="J82" s="725">
        <f>H82*I82*12</f>
        <v>0</v>
      </c>
      <c r="K82" s="49"/>
      <c r="L82"/>
      <c r="M82"/>
      <c r="N82"/>
    </row>
    <row r="83" spans="2:14">
      <c r="B83" s="720" t="s">
        <v>209</v>
      </c>
      <c r="C83" s="299">
        <v>4.5</v>
      </c>
      <c r="D83" s="721">
        <v>1.04</v>
      </c>
      <c r="E83" s="703">
        <f>$D$78*D83</f>
        <v>79185.600000000006</v>
      </c>
      <c r="F83" s="700">
        <f>'AMI &amp; Rent 2025'!E50</f>
        <v>1979</v>
      </c>
      <c r="G83" s="722">
        <f>G67</f>
        <v>-212</v>
      </c>
      <c r="H83" s="723">
        <f>F83+G83</f>
        <v>1767</v>
      </c>
      <c r="I83" s="724"/>
      <c r="J83" s="725">
        <f>H83*I83*12</f>
        <v>0</v>
      </c>
      <c r="K83" s="49"/>
      <c r="L83"/>
      <c r="M83"/>
      <c r="N83"/>
    </row>
    <row r="84" spans="2:14">
      <c r="B84" s="660"/>
      <c r="C84" s="284"/>
      <c r="D84" s="284"/>
      <c r="E84" s="284"/>
      <c r="F84" s="49"/>
      <c r="G84" s="726"/>
      <c r="H84" s="726"/>
      <c r="I84" s="284">
        <f>SUM(I80:I83)</f>
        <v>0</v>
      </c>
      <c r="J84" s="725">
        <f>SUM(J80:J83)</f>
        <v>0</v>
      </c>
      <c r="K84" s="284"/>
      <c r="L84"/>
      <c r="M84"/>
      <c r="N84"/>
    </row>
    <row r="85" spans="2:14">
      <c r="B85" s="660"/>
      <c r="C85" s="710"/>
      <c r="D85" s="710"/>
      <c r="E85" s="710"/>
      <c r="F85" s="624"/>
      <c r="G85" s="727"/>
      <c r="H85" s="727"/>
      <c r="I85" s="710"/>
      <c r="J85" s="711"/>
      <c r="K85" s="284"/>
      <c r="L85"/>
      <c r="M85"/>
      <c r="N85"/>
    </row>
    <row r="86" spans="2:14" ht="15.75">
      <c r="B86" s="285">
        <v>0.56999999999999995</v>
      </c>
      <c r="C86" s="712" t="s">
        <v>214</v>
      </c>
      <c r="D86" s="713">
        <f>$C$47*B86</f>
        <v>92339.999999999985</v>
      </c>
      <c r="E86" s="284"/>
      <c r="F86" s="49"/>
      <c r="G86" s="726"/>
      <c r="H86" s="726"/>
      <c r="I86" s="284"/>
      <c r="J86" s="705"/>
      <c r="K86" s="284"/>
      <c r="L86"/>
      <c r="M86"/>
      <c r="N86"/>
    </row>
    <row r="87" spans="2:14" ht="30">
      <c r="B87" s="714" t="s">
        <v>216</v>
      </c>
      <c r="C87" s="299" t="s">
        <v>217</v>
      </c>
      <c r="D87" s="715" t="s">
        <v>218</v>
      </c>
      <c r="E87" s="49" t="s">
        <v>219</v>
      </c>
      <c r="F87" s="716" t="s">
        <v>220</v>
      </c>
      <c r="G87" s="717" t="s">
        <v>225</v>
      </c>
      <c r="H87" s="718" t="s">
        <v>222</v>
      </c>
      <c r="I87" s="300" t="s">
        <v>223</v>
      </c>
      <c r="J87" s="719" t="s">
        <v>224</v>
      </c>
      <c r="K87" s="49"/>
      <c r="L87"/>
      <c r="M87"/>
      <c r="N87"/>
    </row>
    <row r="88" spans="2:14">
      <c r="B88" s="720" t="s">
        <v>200</v>
      </c>
      <c r="C88" s="299">
        <v>1</v>
      </c>
      <c r="D88" s="721">
        <v>0.6</v>
      </c>
      <c r="E88" s="703">
        <f>$D$86*D88</f>
        <v>55403.999999999993</v>
      </c>
      <c r="F88" s="700">
        <f>'AMI &amp; Rent 2025'!E60</f>
        <v>1385</v>
      </c>
      <c r="G88" s="722">
        <f>G64</f>
        <v>-111</v>
      </c>
      <c r="H88" s="723">
        <f>F88+G88</f>
        <v>1274</v>
      </c>
      <c r="I88" s="724"/>
      <c r="J88" s="725">
        <f>H88*I88*12</f>
        <v>0</v>
      </c>
      <c r="K88" s="49"/>
      <c r="L88"/>
      <c r="M88"/>
      <c r="N88"/>
    </row>
    <row r="89" spans="2:14">
      <c r="B89" s="720" t="s">
        <v>204</v>
      </c>
      <c r="C89" s="299">
        <v>1.5</v>
      </c>
      <c r="D89" s="721">
        <v>0.75</v>
      </c>
      <c r="E89" s="703">
        <f>$D$86*D89</f>
        <v>69254.999999999985</v>
      </c>
      <c r="F89" s="700">
        <f>'AMI &amp; Rent 2025'!E61</f>
        <v>1731</v>
      </c>
      <c r="G89" s="722">
        <f>G65</f>
        <v>-127</v>
      </c>
      <c r="H89" s="723">
        <f>F89+G89</f>
        <v>1604</v>
      </c>
      <c r="I89" s="724"/>
      <c r="J89" s="725">
        <f>H89*I89*12</f>
        <v>0</v>
      </c>
      <c r="K89" s="49"/>
      <c r="L89"/>
      <c r="M89"/>
      <c r="N89"/>
    </row>
    <row r="90" spans="2:14">
      <c r="B90" s="720" t="s">
        <v>206</v>
      </c>
      <c r="C90" s="299">
        <v>3</v>
      </c>
      <c r="D90" s="721">
        <v>0.9</v>
      </c>
      <c r="E90" s="703">
        <f>$D$86*D90</f>
        <v>83105.999999999985</v>
      </c>
      <c r="F90" s="700">
        <f>'AMI &amp; Rent 2025'!E62</f>
        <v>2077</v>
      </c>
      <c r="G90" s="722">
        <f>G66</f>
        <v>-170</v>
      </c>
      <c r="H90" s="723">
        <f>F90+G90</f>
        <v>1907</v>
      </c>
      <c r="I90" s="724"/>
      <c r="J90" s="725">
        <f>H90*I90*12</f>
        <v>0</v>
      </c>
      <c r="K90" s="49"/>
      <c r="L90"/>
      <c r="M90"/>
      <c r="N90"/>
    </row>
    <row r="91" spans="2:14">
      <c r="B91" s="720" t="s">
        <v>209</v>
      </c>
      <c r="C91" s="299">
        <v>4.5</v>
      </c>
      <c r="D91" s="721">
        <v>1.04</v>
      </c>
      <c r="E91" s="703">
        <f>$D$86*D91</f>
        <v>96033.599999999991</v>
      </c>
      <c r="F91" s="700">
        <f>'AMI &amp; Rent 2025'!E63</f>
        <v>2401</v>
      </c>
      <c r="G91" s="722">
        <f>G67</f>
        <v>-212</v>
      </c>
      <c r="H91" s="723">
        <f>F91+G91</f>
        <v>2189</v>
      </c>
      <c r="I91" s="724"/>
      <c r="J91" s="725">
        <f>H91*I91*12</f>
        <v>0</v>
      </c>
      <c r="K91" s="49"/>
      <c r="L91"/>
      <c r="M91"/>
      <c r="N91"/>
    </row>
    <row r="92" spans="2:14">
      <c r="B92" s="660"/>
      <c r="C92" s="284"/>
      <c r="D92" s="284"/>
      <c r="E92" s="284"/>
      <c r="F92" s="49"/>
      <c r="G92" s="726"/>
      <c r="H92" s="726"/>
      <c r="I92" s="284">
        <f>SUM(I88:I91)</f>
        <v>0</v>
      </c>
      <c r="J92" s="725">
        <f>SUM(J88:J91)</f>
        <v>0</v>
      </c>
      <c r="K92" s="284"/>
      <c r="L92"/>
      <c r="M92"/>
      <c r="N92"/>
    </row>
    <row r="93" spans="2:14">
      <c r="B93" s="660"/>
      <c r="C93" s="710"/>
      <c r="D93" s="710"/>
      <c r="E93" s="710"/>
      <c r="F93" s="624"/>
      <c r="G93" s="727"/>
      <c r="H93" s="727"/>
      <c r="I93" s="710"/>
      <c r="J93" s="711"/>
      <c r="K93" s="284"/>
      <c r="L93"/>
      <c r="M93"/>
      <c r="N93"/>
    </row>
    <row r="94" spans="2:14" ht="15.75">
      <c r="B94" s="285">
        <v>0.77</v>
      </c>
      <c r="C94" s="712" t="s">
        <v>214</v>
      </c>
      <c r="D94" s="713">
        <f>$C$47*B94</f>
        <v>124740</v>
      </c>
      <c r="E94" s="284"/>
      <c r="F94" s="49"/>
      <c r="G94" s="726"/>
      <c r="H94" s="726"/>
      <c r="I94" s="284"/>
      <c r="J94" s="705"/>
      <c r="K94" s="284"/>
      <c r="L94"/>
      <c r="M94"/>
      <c r="N94"/>
    </row>
    <row r="95" spans="2:14" ht="30">
      <c r="B95" s="714" t="s">
        <v>216</v>
      </c>
      <c r="C95" s="299" t="s">
        <v>217</v>
      </c>
      <c r="D95" s="715" t="s">
        <v>218</v>
      </c>
      <c r="E95" s="49" t="s">
        <v>219</v>
      </c>
      <c r="F95" s="716" t="s">
        <v>220</v>
      </c>
      <c r="G95" s="717" t="s">
        <v>225</v>
      </c>
      <c r="H95" s="718" t="s">
        <v>222</v>
      </c>
      <c r="I95" s="300" t="s">
        <v>223</v>
      </c>
      <c r="J95" s="719" t="s">
        <v>224</v>
      </c>
      <c r="K95" s="49"/>
      <c r="L95"/>
      <c r="M95"/>
      <c r="N95"/>
    </row>
    <row r="96" spans="2:14">
      <c r="B96" s="720" t="s">
        <v>200</v>
      </c>
      <c r="C96" s="299">
        <v>1</v>
      </c>
      <c r="D96" s="721">
        <v>0.6</v>
      </c>
      <c r="E96" s="703">
        <f>$D$94*D96</f>
        <v>74844</v>
      </c>
      <c r="F96" s="700">
        <f>'AMI &amp; Rent 2025'!E85</f>
        <v>1871</v>
      </c>
      <c r="G96" s="722">
        <f>G64</f>
        <v>-111</v>
      </c>
      <c r="H96" s="723">
        <f>F96+G96</f>
        <v>1760</v>
      </c>
      <c r="I96" s="724"/>
      <c r="J96" s="725">
        <f>H96*I96*12</f>
        <v>0</v>
      </c>
      <c r="K96" s="49"/>
      <c r="L96"/>
      <c r="M96"/>
      <c r="N96"/>
    </row>
    <row r="97" spans="2:14">
      <c r="B97" s="720" t="s">
        <v>204</v>
      </c>
      <c r="C97" s="299">
        <v>1.5</v>
      </c>
      <c r="D97" s="721">
        <v>0.75</v>
      </c>
      <c r="E97" s="703">
        <f>$D$94*D97</f>
        <v>93555</v>
      </c>
      <c r="F97" s="700">
        <f>'AMI &amp; Rent 2025'!E86</f>
        <v>2338</v>
      </c>
      <c r="G97" s="722">
        <f>G65</f>
        <v>-127</v>
      </c>
      <c r="H97" s="723">
        <f>F97+G97</f>
        <v>2211</v>
      </c>
      <c r="I97" s="724"/>
      <c r="J97" s="725">
        <f>H97*I97*12</f>
        <v>0</v>
      </c>
      <c r="K97" s="49"/>
      <c r="L97"/>
      <c r="M97"/>
      <c r="N97"/>
    </row>
    <row r="98" spans="2:14">
      <c r="B98" s="720" t="s">
        <v>206</v>
      </c>
      <c r="C98" s="299">
        <v>3</v>
      </c>
      <c r="D98" s="721">
        <v>0.9</v>
      </c>
      <c r="E98" s="703">
        <f>$D$94*D98</f>
        <v>112266</v>
      </c>
      <c r="F98" s="700">
        <f>'AMI &amp; Rent 2025'!E87</f>
        <v>2806</v>
      </c>
      <c r="G98" s="722">
        <f>G66</f>
        <v>-170</v>
      </c>
      <c r="H98" s="723">
        <f>F98+G98</f>
        <v>2636</v>
      </c>
      <c r="I98" s="724"/>
      <c r="J98" s="725">
        <f>H98*I98*12</f>
        <v>0</v>
      </c>
      <c r="K98" s="49"/>
      <c r="L98"/>
      <c r="M98"/>
      <c r="N98"/>
    </row>
    <row r="99" spans="2:14">
      <c r="B99" s="720" t="s">
        <v>209</v>
      </c>
      <c r="C99" s="299">
        <v>4.5</v>
      </c>
      <c r="D99" s="721">
        <v>1.04</v>
      </c>
      <c r="E99" s="703">
        <f>$D$94*D99</f>
        <v>129729.60000000001</v>
      </c>
      <c r="F99" s="700">
        <f>'AMI &amp; Rent 2025'!E88</f>
        <v>3243</v>
      </c>
      <c r="G99" s="722">
        <f>G67</f>
        <v>-212</v>
      </c>
      <c r="H99" s="723">
        <f>F99+G99</f>
        <v>3031</v>
      </c>
      <c r="I99" s="724"/>
      <c r="J99" s="725">
        <f>H99*I99*12</f>
        <v>0</v>
      </c>
      <c r="K99" s="49"/>
      <c r="L99"/>
      <c r="M99"/>
      <c r="N99"/>
    </row>
    <row r="100" spans="2:14">
      <c r="B100" s="660"/>
      <c r="C100" s="284"/>
      <c r="D100" s="284"/>
      <c r="E100" s="284"/>
      <c r="F100" s="49"/>
      <c r="G100" s="726"/>
      <c r="H100" s="726"/>
      <c r="I100" s="284">
        <f>SUM(I96:I99)</f>
        <v>0</v>
      </c>
      <c r="J100" s="725">
        <f>SUM(J96:J99)</f>
        <v>0</v>
      </c>
      <c r="K100" s="284"/>
      <c r="L100"/>
      <c r="M100"/>
      <c r="N100"/>
    </row>
    <row r="101" spans="2:14">
      <c r="B101" s="660"/>
      <c r="C101" s="710"/>
      <c r="D101" s="710"/>
      <c r="E101" s="710"/>
      <c r="F101" s="624"/>
      <c r="G101" s="727"/>
      <c r="H101" s="727"/>
      <c r="I101" s="710"/>
      <c r="J101" s="711"/>
      <c r="K101" s="284"/>
      <c r="L101"/>
      <c r="M101"/>
      <c r="N101"/>
    </row>
    <row r="102" spans="2:14" ht="15.75">
      <c r="B102" s="285">
        <v>1</v>
      </c>
      <c r="C102" s="712" t="s">
        <v>214</v>
      </c>
      <c r="D102" s="713">
        <f>$C$47*B102</f>
        <v>162000</v>
      </c>
      <c r="E102" s="284"/>
      <c r="F102" s="49"/>
      <c r="G102" s="726"/>
      <c r="H102" s="726"/>
      <c r="I102" s="284"/>
      <c r="J102" s="705"/>
      <c r="K102" s="284"/>
      <c r="L102"/>
      <c r="M102"/>
      <c r="N102"/>
    </row>
    <row r="103" spans="2:14" ht="30">
      <c r="B103" s="714" t="s">
        <v>216</v>
      </c>
      <c r="C103" s="299" t="s">
        <v>217</v>
      </c>
      <c r="D103" s="715" t="s">
        <v>218</v>
      </c>
      <c r="E103" s="49" t="s">
        <v>219</v>
      </c>
      <c r="F103" s="716" t="s">
        <v>220</v>
      </c>
      <c r="G103" s="717" t="s">
        <v>225</v>
      </c>
      <c r="H103" s="718" t="s">
        <v>222</v>
      </c>
      <c r="I103" s="300" t="s">
        <v>223</v>
      </c>
      <c r="J103" s="719" t="s">
        <v>224</v>
      </c>
      <c r="K103" s="49"/>
      <c r="L103"/>
      <c r="M103"/>
      <c r="N103"/>
    </row>
    <row r="104" spans="2:14">
      <c r="B104" s="720" t="s">
        <v>200</v>
      </c>
      <c r="C104" s="299">
        <v>1</v>
      </c>
      <c r="D104" s="721">
        <v>0.6</v>
      </c>
      <c r="E104" s="703">
        <f>$D$102*D104</f>
        <v>97200</v>
      </c>
      <c r="F104" s="700">
        <f>'AMI &amp; Rent 2025'!E109</f>
        <v>2673</v>
      </c>
      <c r="G104" s="722">
        <f>G64</f>
        <v>-111</v>
      </c>
      <c r="H104" s="723">
        <f>F104+G104</f>
        <v>2562</v>
      </c>
      <c r="I104" s="724"/>
      <c r="J104" s="725">
        <f>H104*I104*12</f>
        <v>0</v>
      </c>
      <c r="K104" s="49"/>
      <c r="L104"/>
      <c r="M104"/>
      <c r="N104"/>
    </row>
    <row r="105" spans="2:14">
      <c r="B105" s="720" t="s">
        <v>204</v>
      </c>
      <c r="C105" s="299">
        <v>1.5</v>
      </c>
      <c r="D105" s="721">
        <v>0.75</v>
      </c>
      <c r="E105" s="703">
        <f>$D$102*D105</f>
        <v>121500</v>
      </c>
      <c r="F105" s="700">
        <f>'AMI &amp; Rent 2025'!E110</f>
        <v>3341</v>
      </c>
      <c r="G105" s="722">
        <f>G65</f>
        <v>-127</v>
      </c>
      <c r="H105" s="723">
        <f>F105+G105</f>
        <v>3214</v>
      </c>
      <c r="I105" s="724"/>
      <c r="J105" s="725">
        <f>H105*I105*12</f>
        <v>0</v>
      </c>
      <c r="K105" s="49"/>
      <c r="L105"/>
      <c r="M105"/>
      <c r="N105"/>
    </row>
    <row r="106" spans="2:14">
      <c r="B106" s="720" t="s">
        <v>206</v>
      </c>
      <c r="C106" s="299">
        <v>3</v>
      </c>
      <c r="D106" s="721">
        <v>0.9</v>
      </c>
      <c r="E106" s="703">
        <f>$D$102*D106</f>
        <v>145800</v>
      </c>
      <c r="F106" s="700">
        <f>'AMI &amp; Rent 2025'!E111</f>
        <v>4009</v>
      </c>
      <c r="G106" s="722">
        <f>G66</f>
        <v>-170</v>
      </c>
      <c r="H106" s="723">
        <f>F106+G106</f>
        <v>3839</v>
      </c>
      <c r="I106" s="724"/>
      <c r="J106" s="725">
        <f>H106*I106*12</f>
        <v>0</v>
      </c>
      <c r="K106" s="49"/>
      <c r="L106"/>
      <c r="M106"/>
      <c r="N106"/>
    </row>
    <row r="107" spans="2:14">
      <c r="B107" s="720" t="s">
        <v>209</v>
      </c>
      <c r="C107" s="299">
        <v>4.5</v>
      </c>
      <c r="D107" s="721">
        <v>1.04</v>
      </c>
      <c r="E107" s="703">
        <f>$D$102*D107</f>
        <v>168480</v>
      </c>
      <c r="F107" s="700">
        <f>'AMI &amp; Rent 2025'!E112</f>
        <v>4633</v>
      </c>
      <c r="G107" s="722">
        <f>G67</f>
        <v>-212</v>
      </c>
      <c r="H107" s="723">
        <f>F107+G107</f>
        <v>4421</v>
      </c>
      <c r="I107" s="724"/>
      <c r="J107" s="725">
        <f>H107*I107*12</f>
        <v>0</v>
      </c>
      <c r="K107" s="49"/>
      <c r="L107"/>
      <c r="M107"/>
      <c r="N107"/>
    </row>
    <row r="108" spans="2:14">
      <c r="B108" s="660"/>
      <c r="C108" s="284"/>
      <c r="D108" s="284"/>
      <c r="E108" s="284"/>
      <c r="F108" s="49"/>
      <c r="G108" s="726"/>
      <c r="H108" s="726"/>
      <c r="I108" s="284">
        <f>SUM(I104:I107)</f>
        <v>0</v>
      </c>
      <c r="J108" s="725">
        <f>SUM(J104:J107)</f>
        <v>0</v>
      </c>
      <c r="K108" s="284"/>
      <c r="L108"/>
      <c r="M108"/>
      <c r="N108"/>
    </row>
    <row r="109" spans="2:14" ht="15.75">
      <c r="B109" s="286" t="s">
        <v>226</v>
      </c>
      <c r="C109"/>
      <c r="D109"/>
      <c r="E109" s="284"/>
      <c r="F109" s="49"/>
      <c r="G109" s="284"/>
      <c r="H109" s="284"/>
      <c r="I109" s="284"/>
      <c r="J109" s="705"/>
      <c r="K109" s="49"/>
      <c r="L109"/>
      <c r="M109"/>
      <c r="N109"/>
    </row>
    <row r="110" spans="2:14">
      <c r="B110" s="714" t="s">
        <v>216</v>
      </c>
      <c r="C110" s="299"/>
      <c r="D110" s="715"/>
      <c r="E110" s="49"/>
      <c r="F110" s="716"/>
      <c r="G110" s="300"/>
      <c r="H110" s="300" t="s">
        <v>179</v>
      </c>
      <c r="I110" s="300" t="s">
        <v>223</v>
      </c>
      <c r="J110" s="719" t="s">
        <v>224</v>
      </c>
      <c r="K110" s="49"/>
      <c r="L110"/>
      <c r="M110"/>
      <c r="N110"/>
    </row>
    <row r="111" spans="2:14">
      <c r="B111" s="720" t="s">
        <v>200</v>
      </c>
      <c r="C111" s="728"/>
      <c r="D111" s="729"/>
      <c r="E111" s="730"/>
      <c r="F111" s="731"/>
      <c r="G111" s="731"/>
      <c r="H111" s="732"/>
      <c r="I111" s="724"/>
      <c r="J111" s="725">
        <f>I111*12*H111</f>
        <v>0</v>
      </c>
      <c r="K111" s="49"/>
      <c r="L111"/>
      <c r="M111"/>
      <c r="N111"/>
    </row>
    <row r="112" spans="2:14">
      <c r="B112" s="720" t="s">
        <v>204</v>
      </c>
      <c r="C112" s="728"/>
      <c r="D112" s="729"/>
      <c r="E112" s="730"/>
      <c r="F112" s="731"/>
      <c r="G112" s="731"/>
      <c r="H112" s="732"/>
      <c r="I112" s="724"/>
      <c r="J112" s="725">
        <f>I112*12*H112</f>
        <v>0</v>
      </c>
      <c r="K112" s="49"/>
      <c r="L112"/>
      <c r="M112"/>
      <c r="N112"/>
    </row>
    <row r="113" spans="2:21">
      <c r="B113" s="720" t="s">
        <v>206</v>
      </c>
      <c r="C113" s="728"/>
      <c r="D113" s="729"/>
      <c r="E113" s="730"/>
      <c r="F113" s="731"/>
      <c r="G113" s="731"/>
      <c r="H113" s="732"/>
      <c r="I113" s="724"/>
      <c r="J113" s="725">
        <f>I113*12*H113</f>
        <v>0</v>
      </c>
      <c r="K113" s="49"/>
      <c r="L113"/>
      <c r="M113"/>
      <c r="N113"/>
      <c r="O113" s="49"/>
      <c r="P113" s="49"/>
      <c r="Q113" s="49"/>
      <c r="R113" s="49"/>
      <c r="S113" s="49"/>
      <c r="T113" s="49"/>
      <c r="U113" s="49"/>
    </row>
    <row r="114" spans="2:21">
      <c r="B114" s="720" t="s">
        <v>209</v>
      </c>
      <c r="C114" s="728"/>
      <c r="D114" s="729"/>
      <c r="E114" s="730"/>
      <c r="F114" s="731"/>
      <c r="G114" s="731"/>
      <c r="H114" s="732"/>
      <c r="I114" s="724"/>
      <c r="J114" s="725">
        <f>I114*12*H114</f>
        <v>0</v>
      </c>
      <c r="K114" s="49"/>
      <c r="L114"/>
      <c r="M114"/>
      <c r="N114"/>
      <c r="O114" s="49"/>
      <c r="P114" s="49"/>
      <c r="Q114" s="49"/>
      <c r="R114" s="49"/>
      <c r="S114" s="49"/>
      <c r="T114" s="49"/>
      <c r="U114" s="49"/>
    </row>
    <row r="115" spans="2:21">
      <c r="B115" s="720"/>
      <c r="C115" s="299"/>
      <c r="D115" s="721"/>
      <c r="E115" s="703"/>
      <c r="F115" s="700"/>
      <c r="G115" s="700"/>
      <c r="H115"/>
      <c r="I115" s="127"/>
      <c r="J115" s="725">
        <f>SUM(J111:J114)</f>
        <v>0</v>
      </c>
      <c r="K115" s="49"/>
      <c r="L115"/>
      <c r="M115"/>
      <c r="N115"/>
      <c r="O115" s="49"/>
      <c r="P115" s="49"/>
      <c r="Q115" s="49"/>
      <c r="R115" s="49"/>
      <c r="S115" s="49"/>
      <c r="T115" s="49"/>
      <c r="U115" s="49"/>
    </row>
    <row r="116" spans="2:21" ht="15.75">
      <c r="B116" s="733"/>
      <c r="C116"/>
      <c r="D116"/>
      <c r="E116" s="284"/>
      <c r="F116" s="49"/>
      <c r="G116" s="284"/>
      <c r="H116" s="128" t="s">
        <v>227</v>
      </c>
      <c r="I116" s="284">
        <f>SUM(I60,I68,I76,I84,I92,I100,I108)</f>
        <v>0</v>
      </c>
      <c r="J116" s="705"/>
      <c r="K116" s="284"/>
      <c r="L116"/>
      <c r="M116"/>
      <c r="N116"/>
      <c r="O116" s="49"/>
      <c r="P116" s="49"/>
      <c r="Q116" s="49"/>
      <c r="R116" s="49"/>
      <c r="S116" s="49"/>
      <c r="T116" s="49"/>
      <c r="U116" s="49"/>
    </row>
    <row r="117" spans="2:21" ht="15.75">
      <c r="B117" s="660"/>
      <c r="C117" s="284"/>
      <c r="D117" s="284"/>
      <c r="E117" s="284"/>
      <c r="F117" s="49"/>
      <c r="G117" s="284"/>
      <c r="H117" s="128"/>
      <c r="I117" s="284"/>
      <c r="J117" s="705"/>
      <c r="K117" s="284"/>
      <c r="L117"/>
      <c r="M117"/>
      <c r="N117"/>
      <c r="O117" s="49"/>
      <c r="P117" s="49"/>
      <c r="Q117" s="49"/>
      <c r="R117" s="49"/>
      <c r="S117" s="49"/>
      <c r="T117" s="49"/>
      <c r="U117" s="49"/>
    </row>
    <row r="118" spans="2:21" ht="15.75">
      <c r="B118" s="660"/>
      <c r="C118" s="49"/>
      <c r="D118" s="49"/>
      <c r="E118" s="49"/>
      <c r="F118" s="49"/>
      <c r="G118" s="49"/>
      <c r="H118" s="49"/>
      <c r="I118" s="61" t="s">
        <v>228</v>
      </c>
      <c r="J118" s="734">
        <f>SUM(J60,J68,J76,J84,J92,J100,J108,J115)</f>
        <v>0</v>
      </c>
      <c r="K118" s="49"/>
      <c r="L118"/>
      <c r="M118"/>
      <c r="N118"/>
      <c r="O118" s="49"/>
      <c r="P118" s="49"/>
      <c r="Q118" s="49"/>
      <c r="R118" s="49"/>
      <c r="S118" s="49"/>
      <c r="T118" s="49"/>
      <c r="U118" s="49"/>
    </row>
    <row r="119" spans="2:21">
      <c r="B119" s="660"/>
      <c r="C119" s="49"/>
      <c r="D119" s="49"/>
      <c r="E119" s="49"/>
      <c r="F119" s="49"/>
      <c r="G119" s="49"/>
      <c r="H119" s="49"/>
      <c r="I119" s="49"/>
      <c r="J119" s="643"/>
      <c r="K119" s="49"/>
      <c r="L119"/>
      <c r="M119"/>
      <c r="N119"/>
      <c r="O119" s="49"/>
      <c r="P119" s="49"/>
      <c r="Q119" s="2"/>
      <c r="R119" s="2"/>
      <c r="S119" s="735"/>
      <c r="T119" s="5"/>
      <c r="U119" s="355"/>
    </row>
    <row r="120" spans="2:21" ht="15.75">
      <c r="B120" s="662"/>
      <c r="C120" s="649"/>
      <c r="D120" s="649"/>
      <c r="E120" s="649"/>
      <c r="F120" s="649"/>
      <c r="G120" s="515"/>
      <c r="H120" s="649"/>
      <c r="I120" s="184" t="s">
        <v>229</v>
      </c>
      <c r="J120" s="187">
        <f>J118+E42</f>
        <v>0</v>
      </c>
      <c r="K120" s="49"/>
      <c r="L120" s="49"/>
      <c r="M120" s="49"/>
      <c r="N120" s="49"/>
      <c r="O120" s="49"/>
      <c r="P120" s="49"/>
      <c r="Q120" s="49"/>
      <c r="R120" s="49"/>
      <c r="S120" s="49"/>
      <c r="T120" s="49"/>
      <c r="U120" s="49"/>
    </row>
  </sheetData>
  <customSheetViews>
    <customSheetView guid="{25C4E7E7-1006-4A2D-BC83-AEE4ADF8A914}" scale="75" colorId="22" showPageBreaks="1" fitToPage="1" printArea="1" showRuler="0" topLeftCell="A28">
      <selection activeCell="F39" sqref="F39"/>
      <pageMargins left="0" right="0" top="0" bottom="0" header="0" footer="0"/>
      <pageSetup scale="68" orientation="portrait" r:id="rId1"/>
      <headerFooter alignWithMargins="0"/>
    </customSheetView>
    <customSheetView guid="{28F81D13-D146-4D67-8981-BA5D7A496326}" scale="87" colorId="22" showPageBreaks="1" fitToPage="1" printArea="1" showRuler="0" topLeftCell="A37">
      <selection activeCell="C33" sqref="C33"/>
      <pageMargins left="0" right="0" top="0" bottom="0" header="0" footer="0"/>
      <pageSetup scale="77" orientation="portrait" r:id="rId2"/>
      <headerFooter alignWithMargins="0"/>
    </customSheetView>
    <customSheetView guid="{AEA5979F-5357-4ED6-A6CA-1BB80F5C7A74}" scale="87" colorId="22" showPageBreaks="1" fitToPage="1" printArea="1" showRuler="0" topLeftCell="A10">
      <selection activeCell="B28" sqref="B28"/>
      <pageMargins left="0" right="0" top="0" bottom="0" header="0" footer="0"/>
      <pageSetup scale="77" orientation="portrait" r:id="rId3"/>
      <headerFooter alignWithMargins="0"/>
    </customSheetView>
    <customSheetView guid="{EB776EFC-3589-4DB5-BEAF-1E83D9703F9E}" scale="87" colorId="22" fitToPage="1" showRuler="0" topLeftCell="A38">
      <selection activeCell="A59" sqref="A59"/>
      <pageMargins left="0" right="0" top="0" bottom="0" header="0" footer="0"/>
      <pageSetup scale="80" orientation="portrait" r:id="rId4"/>
      <headerFooter alignWithMargins="0"/>
    </customSheetView>
    <customSheetView guid="{FBB4BF8E-8A9F-4E98-A6F9-5F9BF4C55C67}" scale="87" colorId="22" showPageBreaks="1" fitToPage="1" printArea="1" showRuler="0" topLeftCell="A14">
      <selection activeCell="C29" sqref="C29"/>
      <pageMargins left="0" right="0" top="0" bottom="0" header="0" footer="0"/>
      <pageSetup scale="80" orientation="portrait" r:id="rId5"/>
      <headerFooter alignWithMargins="0"/>
    </customSheetView>
    <customSheetView guid="{6EF643BE-69F3-424E-8A44-3890161370D4}" scale="87" colorId="22" showPageBreaks="1" fitToPage="1" printArea="1" showRuler="0" topLeftCell="A40">
      <selection activeCell="D42" sqref="D42"/>
      <pageMargins left="0" right="0" top="0" bottom="0" header="0" footer="0"/>
      <pageSetup scale="77" orientation="portrait" r:id="rId6"/>
      <headerFooter alignWithMargins="0"/>
    </customSheetView>
    <customSheetView guid="{1ECE83C7-A3CE-4F97-BFD3-498FF783C0D9}" scale="75" colorId="22" showPageBreaks="1" fitToPage="1" printArea="1" showRuler="0">
      <selection activeCell="H29" sqref="H29"/>
      <pageMargins left="0" right="0" top="0" bottom="0" header="0" footer="0"/>
      <pageSetup scale="75" orientation="portrait" r:id="rId7"/>
      <headerFooter alignWithMargins="0"/>
    </customSheetView>
    <customSheetView guid="{560D4AFA-61E5-46C3-B0CD-D0EB3053A033}" scale="75" colorId="22" showPageBreaks="1" fitToPage="1" printArea="1" showRuler="0" topLeftCell="A4">
      <selection activeCell="B5" sqref="B5"/>
      <pageMargins left="0" right="0" top="0" bottom="0" header="0" footer="0"/>
      <pageSetup scale="66" orientation="portrait" r:id="rId8"/>
      <headerFooter alignWithMargins="0"/>
    </customSheetView>
  </customSheetViews>
  <mergeCells count="3">
    <mergeCell ref="V46:W46"/>
    <mergeCell ref="B50:B51"/>
    <mergeCell ref="C50:D51"/>
  </mergeCells>
  <phoneticPr fontId="0" type="noConversion"/>
  <dataValidations count="1">
    <dataValidation type="list" allowBlank="1" showInputMessage="1" showErrorMessage="1" sqref="C50" xr:uid="{00000000-0002-0000-0400-000000000000}">
      <formula1>$AC$47:$AC$51</formula1>
    </dataValidation>
  </dataValidations>
  <pageMargins left="0.75" right="0.5" top="0.75" bottom="0.5" header="0.5" footer="0.5"/>
  <pageSetup scale="35" firstPageNumber="209" orientation="portrait" useFirstPageNumber="1" r:id="rId9"/>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pageSetUpPr fitToPage="1"/>
  </sheetPr>
  <dimension ref="A1:O53"/>
  <sheetViews>
    <sheetView topLeftCell="A3" workbookViewId="0"/>
  </sheetViews>
  <sheetFormatPr defaultColWidth="9.77734375" defaultRowHeight="15"/>
  <cols>
    <col min="1" max="1" width="26.6640625" customWidth="1"/>
    <col min="2" max="2" width="11.6640625" customWidth="1"/>
    <col min="3" max="3" width="14.21875" customWidth="1"/>
    <col min="4" max="4" width="9.5546875" customWidth="1"/>
    <col min="5" max="5" width="16.33203125" bestFit="1" customWidth="1"/>
    <col min="6" max="6" width="8.21875" customWidth="1"/>
    <col min="7" max="7" width="37.5546875" customWidth="1"/>
    <col min="8" max="8" width="17.88671875" customWidth="1"/>
    <col min="9" max="9" width="14.6640625" customWidth="1"/>
    <col min="10" max="10" width="5.88671875" customWidth="1"/>
    <col min="11" max="11" width="34" customWidth="1"/>
    <col min="12" max="12" width="15.77734375" bestFit="1" customWidth="1"/>
    <col min="13" max="13" width="10.6640625" customWidth="1"/>
    <col min="14" max="14" width="19.5546875" customWidth="1"/>
  </cols>
  <sheetData>
    <row r="1" spans="1:13" ht="15.75">
      <c r="A1" s="1" t="str">
        <f>'Cons Int &amp; Neg Arb'!A1</f>
        <v xml:space="preserve">Project Name: </v>
      </c>
      <c r="B1" s="2"/>
      <c r="D1" s="18"/>
      <c r="E1" s="18"/>
      <c r="F1" s="2"/>
      <c r="G1" s="2"/>
      <c r="H1" s="2"/>
    </row>
    <row r="2" spans="1:13" ht="15.75">
      <c r="A2" s="1" t="str">
        <f>'Cons Int &amp; Neg Arb'!A2</f>
        <v>Development Team:</v>
      </c>
      <c r="B2" s="2"/>
      <c r="D2" s="18"/>
      <c r="E2" s="18"/>
      <c r="F2" s="2"/>
      <c r="G2" s="2"/>
      <c r="H2" s="2"/>
    </row>
    <row r="3" spans="1:13" ht="15.75">
      <c r="A3" s="1" t="str">
        <f>'Cons Int &amp; Neg Arb'!A3</f>
        <v>Site:</v>
      </c>
      <c r="B3" s="2"/>
      <c r="D3" s="18" t="str">
        <f>'Sources and Use'!C3</f>
        <v>Units:</v>
      </c>
      <c r="E3" s="41">
        <f>'Units &amp; Income'!C24</f>
        <v>0</v>
      </c>
      <c r="F3" s="2"/>
      <c r="G3" s="2"/>
      <c r="H3" s="2"/>
    </row>
    <row r="4" spans="1:13" ht="15.75">
      <c r="A4" s="1"/>
      <c r="B4" s="2"/>
      <c r="F4" s="2"/>
      <c r="G4" s="2"/>
      <c r="H4" s="2"/>
    </row>
    <row r="5" spans="1:13" ht="15.75">
      <c r="A5" s="1"/>
      <c r="B5" s="2"/>
      <c r="F5" s="2"/>
      <c r="G5" s="2"/>
      <c r="H5" s="2"/>
    </row>
    <row r="6" spans="1:13" ht="15.75">
      <c r="A6" s="17" t="s">
        <v>230</v>
      </c>
      <c r="B6" s="2"/>
      <c r="C6" s="2"/>
      <c r="D6" s="233">
        <f>'Units &amp; Income'!C24</f>
        <v>0</v>
      </c>
      <c r="E6" s="145" t="s">
        <v>231</v>
      </c>
      <c r="F6" s="2"/>
      <c r="G6" s="2"/>
      <c r="H6" s="2"/>
    </row>
    <row r="7" spans="1:13">
      <c r="B7" s="110"/>
      <c r="C7" s="110"/>
      <c r="D7" s="233">
        <f>'Units &amp; Income'!E24</f>
        <v>0</v>
      </c>
      <c r="E7" s="145" t="s">
        <v>232</v>
      </c>
      <c r="F7" s="2"/>
      <c r="G7" s="2"/>
      <c r="H7" s="2"/>
    </row>
    <row r="8" spans="1:13" ht="15.75" thickBot="1">
      <c r="A8" s="96"/>
      <c r="B8" s="96"/>
      <c r="C8" s="96"/>
      <c r="D8" s="96"/>
      <c r="E8" s="96"/>
    </row>
    <row r="9" spans="1:13" s="240" customFormat="1" ht="18" customHeight="1" thickTop="1">
      <c r="A9" s="314" t="s">
        <v>233</v>
      </c>
      <c r="B9" s="236"/>
      <c r="C9" s="237"/>
      <c r="D9" s="288" t="s">
        <v>234</v>
      </c>
      <c r="E9" s="238"/>
      <c r="F9" s="239"/>
      <c r="G9" s="478" t="s">
        <v>235</v>
      </c>
      <c r="H9" s="479"/>
      <c r="I9" s="480"/>
    </row>
    <row r="10" spans="1:13" s="240" customFormat="1" ht="18" customHeight="1">
      <c r="A10" s="313" t="s">
        <v>236</v>
      </c>
      <c r="B10" s="239"/>
      <c r="C10" s="310"/>
      <c r="D10" s="320"/>
      <c r="E10" s="322"/>
      <c r="F10" s="239"/>
      <c r="G10" s="313" t="str">
        <f>A10</f>
        <v>ADMINISTRATIVE</v>
      </c>
      <c r="H10" s="311"/>
      <c r="I10" s="736"/>
    </row>
    <row r="11" spans="1:13" s="240" customFormat="1" ht="18" customHeight="1">
      <c r="A11" s="312" t="s">
        <v>237</v>
      </c>
      <c r="B11" s="239"/>
      <c r="C11" s="315">
        <f>D11*$D$6</f>
        <v>0</v>
      </c>
      <c r="D11" s="290"/>
      <c r="E11" s="322" t="s">
        <v>238</v>
      </c>
      <c r="F11" s="241"/>
      <c r="G11" s="312" t="str">
        <f>A11</f>
        <v xml:space="preserve">Legal </v>
      </c>
      <c r="H11" s="295">
        <v>240</v>
      </c>
      <c r="I11" s="327" t="str">
        <f>E11</f>
        <v>per unit</v>
      </c>
      <c r="M11" s="334"/>
    </row>
    <row r="12" spans="1:13" s="240" customFormat="1" ht="18" customHeight="1">
      <c r="A12" s="312" t="s">
        <v>239</v>
      </c>
      <c r="B12" s="239"/>
      <c r="C12" s="315">
        <f>D12</f>
        <v>0</v>
      </c>
      <c r="D12" s="289"/>
      <c r="E12" s="322" t="s">
        <v>240</v>
      </c>
      <c r="F12" s="241"/>
      <c r="G12" s="312" t="str">
        <f t="shared" ref="G12:G23" si="0">A12</f>
        <v>Accounting</v>
      </c>
      <c r="H12" s="295">
        <v>20000</v>
      </c>
      <c r="I12" s="327" t="str">
        <f>E12</f>
        <v>per project</v>
      </c>
    </row>
    <row r="13" spans="1:13" s="240" customFormat="1" ht="18" customHeight="1">
      <c r="A13" s="312" t="s">
        <v>241</v>
      </c>
      <c r="B13" s="239"/>
      <c r="C13" s="315">
        <f>D13*Mort!D12</f>
        <v>0</v>
      </c>
      <c r="D13" s="289"/>
      <c r="E13" s="322" t="s">
        <v>242</v>
      </c>
      <c r="F13" s="241"/>
      <c r="G13" s="312" t="s">
        <v>241</v>
      </c>
      <c r="H13" s="333" t="s">
        <v>243</v>
      </c>
      <c r="I13" s="327" t="str">
        <f>E13</f>
        <v>of ERI</v>
      </c>
      <c r="K13" s="316"/>
    </row>
    <row r="14" spans="1:13" s="240" customFormat="1" ht="18" customHeight="1">
      <c r="A14" s="312" t="s">
        <v>244</v>
      </c>
      <c r="B14" s="239"/>
      <c r="C14" s="315">
        <f>D14*$D$6</f>
        <v>0</v>
      </c>
      <c r="D14" s="289"/>
      <c r="E14" s="322" t="s">
        <v>238</v>
      </c>
      <c r="F14" s="241"/>
      <c r="G14" s="312" t="str">
        <f t="shared" si="0"/>
        <v xml:space="preserve">Fire and Liability Insurance </v>
      </c>
      <c r="H14" s="295">
        <v>1550</v>
      </c>
      <c r="I14" s="327" t="str">
        <f>E14</f>
        <v>per unit</v>
      </c>
      <c r="K14" s="349" t="s">
        <v>245</v>
      </c>
      <c r="L14" s="350"/>
    </row>
    <row r="15" spans="1:13" s="240" customFormat="1" ht="28.5" customHeight="1">
      <c r="A15" s="312" t="s">
        <v>245</v>
      </c>
      <c r="B15" s="346"/>
      <c r="C15" s="248">
        <f>D15</f>
        <v>0</v>
      </c>
      <c r="D15" s="290"/>
      <c r="E15" s="322" t="s">
        <v>246</v>
      </c>
      <c r="F15" s="241"/>
      <c r="G15" s="312" t="str">
        <f t="shared" si="0"/>
        <v>Tax Credit Monitoring</v>
      </c>
      <c r="H15" s="475" t="s">
        <v>247</v>
      </c>
      <c r="I15" s="476"/>
      <c r="K15" s="481" t="s">
        <v>248</v>
      </c>
      <c r="L15" s="482"/>
    </row>
    <row r="16" spans="1:13" s="240" customFormat="1">
      <c r="A16" s="312" t="s">
        <v>249</v>
      </c>
      <c r="B16" s="239"/>
      <c r="C16" s="315">
        <f>D16</f>
        <v>0</v>
      </c>
      <c r="D16" s="290"/>
      <c r="E16" s="322" t="s">
        <v>250</v>
      </c>
      <c r="F16" s="241"/>
      <c r="G16" s="312" t="str">
        <f>A16</f>
        <v>Benchmarking Expense</v>
      </c>
      <c r="H16" s="305">
        <v>600</v>
      </c>
      <c r="I16" s="327" t="str">
        <f>E16</f>
        <v>per building</v>
      </c>
      <c r="K16" s="483" t="s">
        <v>251</v>
      </c>
      <c r="L16" s="484"/>
    </row>
    <row r="17" spans="1:14" s="240" customFormat="1">
      <c r="A17" s="312"/>
      <c r="B17" s="346"/>
      <c r="C17" s="248"/>
      <c r="D17" s="241"/>
      <c r="E17" s="322"/>
      <c r="F17" s="241"/>
      <c r="G17" s="312"/>
      <c r="H17" s="347"/>
      <c r="I17" s="348"/>
    </row>
    <row r="18" spans="1:14" s="240" customFormat="1" ht="18" customHeight="1">
      <c r="A18" s="313" t="s">
        <v>252</v>
      </c>
      <c r="B18" s="239"/>
      <c r="C18" s="315"/>
      <c r="D18" s="241"/>
      <c r="E18" s="322"/>
      <c r="F18" s="241"/>
      <c r="G18" s="313" t="str">
        <f t="shared" si="0"/>
        <v>UTILITIES</v>
      </c>
      <c r="H18" s="305"/>
      <c r="I18" s="327"/>
      <c r="K18" s="307" t="s">
        <v>253</v>
      </c>
      <c r="L18" s="308" t="s">
        <v>254</v>
      </c>
      <c r="M18" s="330"/>
    </row>
    <row r="19" spans="1:14" s="240" customFormat="1" ht="18" customHeight="1">
      <c r="A19" s="312" t="s">
        <v>253</v>
      </c>
      <c r="B19" s="239"/>
      <c r="C19" s="315">
        <f>D19*$D$7</f>
        <v>0</v>
      </c>
      <c r="D19" s="290"/>
      <c r="E19" s="322" t="s">
        <v>255</v>
      </c>
      <c r="F19" s="241"/>
      <c r="G19" s="312" t="str">
        <f t="shared" si="0"/>
        <v>Heating</v>
      </c>
      <c r="H19" s="475" t="s">
        <v>247</v>
      </c>
      <c r="I19" s="476"/>
      <c r="K19" s="329" t="s">
        <v>256</v>
      </c>
      <c r="L19" s="301">
        <v>197</v>
      </c>
      <c r="M19" s="394"/>
    </row>
    <row r="20" spans="1:14" s="240" customFormat="1" ht="18" customHeight="1">
      <c r="A20" s="312" t="s">
        <v>257</v>
      </c>
      <c r="B20" s="239"/>
      <c r="C20" s="315">
        <f>D20*$D$7</f>
        <v>0</v>
      </c>
      <c r="D20" s="289"/>
      <c r="E20" s="322" t="s">
        <v>255</v>
      </c>
      <c r="F20" s="241"/>
      <c r="G20" s="312" t="str">
        <f t="shared" si="0"/>
        <v>Hot Water</v>
      </c>
      <c r="H20" s="475" t="s">
        <v>247</v>
      </c>
      <c r="I20" s="476"/>
      <c r="K20" s="304" t="s">
        <v>258</v>
      </c>
      <c r="L20" s="393">
        <v>118</v>
      </c>
      <c r="M20" s="394"/>
    </row>
    <row r="21" spans="1:14" s="240" customFormat="1" ht="18" customHeight="1">
      <c r="A21" s="312" t="s">
        <v>259</v>
      </c>
      <c r="B21" s="239"/>
      <c r="C21" s="315">
        <f>D21*$D$7</f>
        <v>0</v>
      </c>
      <c r="D21" s="290"/>
      <c r="E21" s="322" t="s">
        <v>255</v>
      </c>
      <c r="F21" s="241"/>
      <c r="G21" s="312" t="str">
        <f t="shared" si="0"/>
        <v>Electric (common areas)</v>
      </c>
      <c r="H21" s="295">
        <v>200</v>
      </c>
      <c r="I21" s="327" t="str">
        <f>E21</f>
        <v>per room</v>
      </c>
      <c r="K21" s="395"/>
      <c r="L21" s="396"/>
    </row>
    <row r="22" spans="1:14" s="240" customFormat="1" ht="18" customHeight="1">
      <c r="A22" s="312" t="s">
        <v>260</v>
      </c>
      <c r="B22" s="239"/>
      <c r="C22" s="315">
        <f>D22*$D$7</f>
        <v>0</v>
      </c>
      <c r="D22" s="290"/>
      <c r="E22" s="322" t="s">
        <v>255</v>
      </c>
      <c r="F22" s="241"/>
      <c r="G22" s="312" t="str">
        <f t="shared" si="0"/>
        <v>Water &amp; Sewer</v>
      </c>
      <c r="H22" s="295">
        <v>300</v>
      </c>
      <c r="I22" s="327" t="str">
        <f>E22</f>
        <v>per room</v>
      </c>
      <c r="K22" s="307" t="s">
        <v>257</v>
      </c>
      <c r="L22" s="308" t="s">
        <v>254</v>
      </c>
    </row>
    <row r="23" spans="1:14" s="240" customFormat="1" ht="18" customHeight="1">
      <c r="A23" s="312" t="s">
        <v>261</v>
      </c>
      <c r="B23" s="316"/>
      <c r="C23" s="315">
        <f>D23*$D$6</f>
        <v>0</v>
      </c>
      <c r="D23" s="290"/>
      <c r="E23" s="322" t="s">
        <v>238</v>
      </c>
      <c r="F23" s="241"/>
      <c r="G23" s="312" t="str">
        <f t="shared" si="0"/>
        <v>Broadband</v>
      </c>
      <c r="H23" s="475" t="s">
        <v>262</v>
      </c>
      <c r="I23" s="476"/>
      <c r="J23" s="477"/>
      <c r="K23" s="329" t="s">
        <v>263</v>
      </c>
      <c r="L23" s="301">
        <v>128</v>
      </c>
    </row>
    <row r="24" spans="1:14" s="240" customFormat="1" ht="18" customHeight="1">
      <c r="A24" s="312"/>
      <c r="B24" s="316"/>
      <c r="C24" s="315"/>
      <c r="D24" s="241"/>
      <c r="E24" s="322"/>
      <c r="F24" s="241"/>
      <c r="G24" s="321"/>
      <c r="H24" s="306"/>
      <c r="I24" s="323"/>
      <c r="J24" s="477"/>
      <c r="K24" s="304" t="s">
        <v>264</v>
      </c>
      <c r="L24" s="302">
        <v>187</v>
      </c>
    </row>
    <row r="25" spans="1:14" s="240" customFormat="1" ht="18" customHeight="1">
      <c r="A25" s="313" t="s">
        <v>265</v>
      </c>
      <c r="B25" s="316"/>
      <c r="C25" s="248"/>
      <c r="D25" s="241"/>
      <c r="E25" s="322"/>
      <c r="F25" s="241"/>
      <c r="G25" s="313" t="str">
        <f>A25</f>
        <v>MAINTENANCE</v>
      </c>
      <c r="H25" s="306"/>
      <c r="I25" s="323"/>
      <c r="J25" s="477"/>
    </row>
    <row r="26" spans="1:14" s="240" customFormat="1" ht="18" customHeight="1">
      <c r="A26" s="312" t="s">
        <v>266</v>
      </c>
      <c r="B26" s="316"/>
      <c r="C26" s="315">
        <f>D26*$D$7</f>
        <v>0</v>
      </c>
      <c r="D26" s="290"/>
      <c r="E26" s="322" t="s">
        <v>255</v>
      </c>
      <c r="F26" s="241"/>
      <c r="G26" s="312" t="str">
        <f t="shared" ref="G26:G27" si="1">A26</f>
        <v>Supplies/Cleaning/Exterminating</v>
      </c>
      <c r="H26" s="305">
        <v>140</v>
      </c>
      <c r="I26" s="327" t="str">
        <f>E26</f>
        <v>per room</v>
      </c>
      <c r="J26" s="477"/>
      <c r="K26" s="307" t="s">
        <v>267</v>
      </c>
      <c r="L26" s="308" t="s">
        <v>268</v>
      </c>
    </row>
    <row r="27" spans="1:14" s="240" customFormat="1" ht="18" customHeight="1">
      <c r="A27" s="312" t="s">
        <v>267</v>
      </c>
      <c r="B27" s="316"/>
      <c r="C27" s="315">
        <f>D27*$D$6</f>
        <v>0</v>
      </c>
      <c r="D27" s="290"/>
      <c r="E27" s="322" t="s">
        <v>238</v>
      </c>
      <c r="F27" s="241"/>
      <c r="G27" s="312" t="str">
        <f t="shared" si="1"/>
        <v>Repairs/Replacement</v>
      </c>
      <c r="H27" s="475" t="s">
        <v>247</v>
      </c>
      <c r="I27" s="476"/>
      <c r="J27" s="477"/>
      <c r="K27" s="329" t="s">
        <v>269</v>
      </c>
      <c r="L27" s="301">
        <v>1100</v>
      </c>
    </row>
    <row r="28" spans="1:14" s="240" customFormat="1" ht="18" customHeight="1">
      <c r="A28" s="312" t="s">
        <v>270</v>
      </c>
      <c r="B28" s="316"/>
      <c r="C28" s="243">
        <f>C30+C31</f>
        <v>0</v>
      </c>
      <c r="D28" s="328" t="e">
        <f>C28/$D$6</f>
        <v>#DIV/0!</v>
      </c>
      <c r="E28" s="322" t="s">
        <v>238</v>
      </c>
      <c r="F28" s="241"/>
      <c r="G28" s="303"/>
      <c r="H28" s="306"/>
      <c r="I28" s="323"/>
      <c r="J28" s="477"/>
      <c r="K28" s="304" t="s">
        <v>271</v>
      </c>
      <c r="L28" s="302">
        <v>1200</v>
      </c>
    </row>
    <row r="29" spans="1:14" s="240" customFormat="1" ht="18" customHeight="1">
      <c r="A29" s="737" t="s">
        <v>272</v>
      </c>
      <c r="B29" s="324"/>
      <c r="C29" s="248"/>
      <c r="D29" s="241"/>
      <c r="E29" s="322"/>
      <c r="F29" s="241"/>
      <c r="G29" s="303"/>
      <c r="H29" s="306"/>
      <c r="I29" s="323"/>
      <c r="J29" s="477"/>
    </row>
    <row r="30" spans="1:14" s="240" customFormat="1" ht="18" customHeight="1">
      <c r="A30" s="738" t="s">
        <v>273</v>
      </c>
      <c r="B30" s="244"/>
      <c r="C30" s="317">
        <f>D30*B30</f>
        <v>0</v>
      </c>
      <c r="D30" s="289"/>
      <c r="E30" s="322" t="s">
        <v>274</v>
      </c>
      <c r="F30" s="241"/>
      <c r="G30" s="343" t="str">
        <f>A28</f>
        <v>Super &amp; Maintenance Salaries</v>
      </c>
      <c r="H30" s="475" t="s">
        <v>247</v>
      </c>
      <c r="I30" s="476"/>
      <c r="J30" s="477"/>
      <c r="K30" s="307" t="s">
        <v>275</v>
      </c>
      <c r="L30" s="309" t="s">
        <v>276</v>
      </c>
      <c r="M30" s="309" t="s">
        <v>277</v>
      </c>
      <c r="N30" s="303"/>
    </row>
    <row r="31" spans="1:14" s="240" customFormat="1" ht="18" customHeight="1">
      <c r="A31" s="738" t="s">
        <v>278</v>
      </c>
      <c r="B31" s="244"/>
      <c r="C31" s="317">
        <f>D31*B31</f>
        <v>0</v>
      </c>
      <c r="D31" s="289"/>
      <c r="E31" s="322" t="s">
        <v>274</v>
      </c>
      <c r="F31" s="241"/>
      <c r="G31" s="739"/>
      <c r="H31" s="473" t="s">
        <v>279</v>
      </c>
      <c r="I31" s="474"/>
      <c r="K31" s="245" t="s">
        <v>280</v>
      </c>
      <c r="L31" s="246">
        <v>149996</v>
      </c>
      <c r="M31" s="246">
        <v>111898</v>
      </c>
      <c r="N31" s="337"/>
    </row>
    <row r="32" spans="1:14" s="240" customFormat="1" ht="18" customHeight="1">
      <c r="A32" s="738"/>
      <c r="B32" s="247"/>
      <c r="C32" s="316"/>
      <c r="D32" s="316"/>
      <c r="E32" s="322"/>
      <c r="F32" s="241"/>
      <c r="G32" s="331"/>
      <c r="H32" s="344"/>
      <c r="I32" s="345"/>
      <c r="K32" s="245" t="s">
        <v>281</v>
      </c>
      <c r="L32" s="246">
        <v>119545</v>
      </c>
      <c r="M32" s="246">
        <v>94018</v>
      </c>
      <c r="N32" s="337"/>
    </row>
    <row r="33" spans="1:14" s="240" customFormat="1" ht="18" customHeight="1">
      <c r="A33" s="312" t="s">
        <v>282</v>
      </c>
      <c r="B33" s="244"/>
      <c r="C33" s="315">
        <f>D33*B33</f>
        <v>0</v>
      </c>
      <c r="D33" s="290"/>
      <c r="E33" s="322" t="s">
        <v>283</v>
      </c>
      <c r="F33" s="241"/>
      <c r="G33" s="312" t="str">
        <f t="shared" ref="G33:G34" si="2">A33</f>
        <v xml:space="preserve">Elevator Maintenance &amp; Repairs </v>
      </c>
      <c r="H33" s="295">
        <v>10000</v>
      </c>
      <c r="I33" s="327" t="str">
        <f t="shared" ref="I33:I34" si="3">E33</f>
        <v>per elevator</v>
      </c>
      <c r="K33" s="335"/>
      <c r="L33" s="336"/>
      <c r="M33" s="336"/>
      <c r="N33" s="239"/>
    </row>
    <row r="34" spans="1:14" s="240" customFormat="1" ht="18" customHeight="1">
      <c r="A34" s="312" t="s">
        <v>284</v>
      </c>
      <c r="B34" s="249"/>
      <c r="C34" s="315">
        <f>D34*$D$6</f>
        <v>0</v>
      </c>
      <c r="D34" s="319"/>
      <c r="E34" s="322" t="s">
        <v>238</v>
      </c>
      <c r="F34" s="241"/>
      <c r="G34" s="312" t="str">
        <f t="shared" si="2"/>
        <v xml:space="preserve">Building Reserve </v>
      </c>
      <c r="H34" s="295">
        <v>400</v>
      </c>
      <c r="I34" s="327" t="str">
        <f t="shared" si="3"/>
        <v>per unit</v>
      </c>
    </row>
    <row r="35" spans="1:14" s="240" customFormat="1" ht="18" customHeight="1">
      <c r="A35" s="312"/>
      <c r="B35" s="249"/>
      <c r="C35" s="315"/>
      <c r="D35" s="241"/>
      <c r="E35" s="322"/>
      <c r="F35" s="241"/>
      <c r="G35" s="326"/>
      <c r="H35" s="295"/>
      <c r="I35" s="327"/>
    </row>
    <row r="36" spans="1:14" s="240" customFormat="1" ht="18" customHeight="1">
      <c r="A36" s="313" t="s">
        <v>285</v>
      </c>
      <c r="B36" s="249"/>
      <c r="C36" s="315"/>
      <c r="D36" s="241"/>
      <c r="E36" s="322"/>
      <c r="F36" s="241"/>
      <c r="G36" s="313" t="str">
        <f>A36</f>
        <v>OTHER</v>
      </c>
      <c r="H36" s="295"/>
      <c r="I36" s="327"/>
    </row>
    <row r="37" spans="1:14" s="240" customFormat="1" ht="18" customHeight="1">
      <c r="A37" s="312" t="s">
        <v>286</v>
      </c>
      <c r="B37" s="249"/>
      <c r="C37" s="315" t="e">
        <f ca="1">D37*FIRST</f>
        <v>#DIV/0!</v>
      </c>
      <c r="D37" s="319"/>
      <c r="E37" s="322" t="s">
        <v>287</v>
      </c>
      <c r="F37" s="241"/>
      <c r="G37" s="338" t="s">
        <v>286</v>
      </c>
      <c r="H37" s="339">
        <v>2.5000000000000001E-3</v>
      </c>
      <c r="I37" s="332" t="s">
        <v>288</v>
      </c>
    </row>
    <row r="38" spans="1:14" s="240" customFormat="1" ht="18" customHeight="1">
      <c r="A38" s="312" t="s">
        <v>83</v>
      </c>
      <c r="B38" s="249"/>
      <c r="C38" s="315">
        <f>D38*$D$6</f>
        <v>0</v>
      </c>
      <c r="D38" s="319"/>
      <c r="E38" s="322" t="s">
        <v>240</v>
      </c>
      <c r="F38" s="241"/>
      <c r="G38" s="340"/>
      <c r="H38" s="296"/>
      <c r="I38" s="341"/>
    </row>
    <row r="39" spans="1:14" s="240" customFormat="1" ht="18" customHeight="1">
      <c r="A39" s="312" t="s">
        <v>289</v>
      </c>
      <c r="B39" s="249"/>
      <c r="C39" s="248">
        <v>0</v>
      </c>
      <c r="D39" s="289"/>
      <c r="E39" s="322" t="s">
        <v>238</v>
      </c>
      <c r="F39" s="241"/>
      <c r="G39" s="242"/>
      <c r="H39" s="342"/>
      <c r="I39" s="342"/>
    </row>
    <row r="40" spans="1:14" s="240" customFormat="1" ht="18" customHeight="1">
      <c r="A40" s="312" t="s">
        <v>289</v>
      </c>
      <c r="B40" s="318"/>
      <c r="C40" s="248">
        <v>0</v>
      </c>
      <c r="D40" s="289"/>
      <c r="E40" s="322" t="s">
        <v>238</v>
      </c>
      <c r="F40" s="241"/>
      <c r="G40" s="242"/>
      <c r="H40" s="295"/>
      <c r="I40" s="316"/>
    </row>
    <row r="41" spans="1:14" s="240" customFormat="1" ht="18" customHeight="1">
      <c r="E41" s="325"/>
      <c r="F41" s="241"/>
      <c r="G41" s="239"/>
      <c r="H41" s="295"/>
      <c r="I41" s="316"/>
    </row>
    <row r="42" spans="1:14" s="240" customFormat="1" ht="18" customHeight="1">
      <c r="A42" s="740" t="s">
        <v>290</v>
      </c>
      <c r="B42" s="239"/>
      <c r="C42" s="250" t="e">
        <f ca="1">SUM(C11:C28,C33:C40)</f>
        <v>#DIV/0!</v>
      </c>
      <c r="E42" s="741" t="s">
        <v>96</v>
      </c>
      <c r="F42" s="252"/>
    </row>
    <row r="43" spans="1:14" s="240" customFormat="1" ht="18" customHeight="1">
      <c r="A43" s="742"/>
      <c r="D43" s="352" t="e">
        <f ca="1">C42/D6</f>
        <v>#DIV/0!</v>
      </c>
      <c r="E43" s="741" t="s">
        <v>238</v>
      </c>
      <c r="F43" s="241"/>
    </row>
    <row r="44" spans="1:14" s="240" customFormat="1" ht="18" customHeight="1">
      <c r="A44" s="743"/>
      <c r="B44" s="239"/>
      <c r="D44" s="352" t="e">
        <f ca="1">C42/D7</f>
        <v>#DIV/0!</v>
      </c>
      <c r="E44" s="741" t="s">
        <v>255</v>
      </c>
      <c r="F44" s="241"/>
      <c r="K44"/>
      <c r="L44"/>
      <c r="M44"/>
      <c r="N44"/>
    </row>
    <row r="45" spans="1:14" s="240" customFormat="1" ht="18" customHeight="1">
      <c r="A45" s="743"/>
      <c r="B45" s="239"/>
      <c r="C45" s="241"/>
      <c r="D45" s="241"/>
      <c r="E45" s="322"/>
      <c r="F45" s="241"/>
      <c r="K45"/>
      <c r="L45"/>
      <c r="M45"/>
      <c r="N45"/>
    </row>
    <row r="46" spans="1:14" s="240" customFormat="1" ht="18" customHeight="1">
      <c r="A46" s="312" t="s">
        <v>291</v>
      </c>
      <c r="B46" s="744"/>
      <c r="C46" s="253"/>
      <c r="E46" s="322"/>
      <c r="F46" s="241"/>
      <c r="K46"/>
      <c r="L46"/>
      <c r="M46"/>
      <c r="N46"/>
    </row>
    <row r="47" spans="1:14" s="240" customFormat="1" ht="18" customHeight="1">
      <c r="A47" s="312"/>
      <c r="B47" s="239"/>
      <c r="C47" s="241"/>
      <c r="D47" s="241"/>
      <c r="E47" s="322"/>
      <c r="F47" s="241"/>
      <c r="K47"/>
      <c r="L47"/>
      <c r="M47"/>
      <c r="N47"/>
    </row>
    <row r="48" spans="1:14" s="240" customFormat="1" ht="18" customHeight="1">
      <c r="A48" s="740" t="s">
        <v>292</v>
      </c>
      <c r="B48" s="239"/>
      <c r="C48" s="251" t="e">
        <f ca="1">Expenses+C46</f>
        <v>#DIV/0!</v>
      </c>
      <c r="D48" s="241"/>
      <c r="E48" s="322"/>
      <c r="F48" s="241"/>
      <c r="K48"/>
      <c r="L48"/>
      <c r="M48"/>
      <c r="N48"/>
    </row>
    <row r="49" spans="1:15" s="240" customFormat="1" ht="18" customHeight="1">
      <c r="A49" s="745"/>
      <c r="B49" s="239"/>
      <c r="C49" s="251" t="e">
        <f ca="1">C48/D6</f>
        <v>#DIV/0!</v>
      </c>
      <c r="D49" s="251"/>
      <c r="E49" s="741" t="s">
        <v>293</v>
      </c>
      <c r="F49" s="241"/>
      <c r="K49"/>
      <c r="L49"/>
      <c r="M49"/>
      <c r="N49"/>
      <c r="O49"/>
    </row>
    <row r="50" spans="1:15" ht="15.75">
      <c r="A50" s="254"/>
      <c r="B50" s="236"/>
      <c r="C50" s="255" t="e">
        <f ca="1">C48/D7</f>
        <v>#DIV/0!</v>
      </c>
      <c r="D50" s="255"/>
      <c r="E50" s="256" t="s">
        <v>255</v>
      </c>
      <c r="F50" s="5"/>
      <c r="G50" s="240"/>
      <c r="H50" s="240"/>
      <c r="I50" s="240"/>
    </row>
    <row r="51" spans="1:15" ht="15.75">
      <c r="A51" s="2"/>
      <c r="B51" s="2"/>
      <c r="C51" s="7"/>
      <c r="D51" s="7"/>
      <c r="E51" s="1"/>
      <c r="F51" s="5"/>
    </row>
    <row r="52" spans="1:15">
      <c r="A52" s="2"/>
      <c r="B52" s="2"/>
      <c r="C52" s="5"/>
      <c r="D52" s="5"/>
      <c r="E52" s="2"/>
      <c r="F52" s="2"/>
    </row>
    <row r="53" spans="1:15">
      <c r="A53" s="15"/>
      <c r="B53" s="12"/>
      <c r="C53" s="2"/>
      <c r="D53" s="5"/>
      <c r="E53" s="2"/>
    </row>
  </sheetData>
  <customSheetViews>
    <customSheetView guid="{25C4E7E7-1006-4A2D-BC83-AEE4ADF8A914}" scale="75" colorId="22" showPageBreaks="1" printArea="1" hiddenRows="1" hiddenColumns="1" showRuler="0" topLeftCell="A17">
      <selection activeCell="G26" sqref="G26"/>
      <pageMargins left="0" right="0" top="0" bottom="0" header="0" footer="0"/>
      <pageSetup scale="93" orientation="landscape" r:id="rId1"/>
      <headerFooter alignWithMargins="0"/>
    </customSheetView>
    <customSheetView guid="{28F81D13-D146-4D67-8981-BA5D7A496326}" scale="75" colorId="22" showPageBreaks="1" fitToPage="1" printArea="1" hiddenColumns="1" showRuler="0" topLeftCell="A7">
      <selection activeCell="K9" sqref="K9"/>
      <pageMargins left="0" right="0" top="0" bottom="0" header="0" footer="0"/>
      <pageSetup orientation="landscape" r:id="rId2"/>
      <headerFooter alignWithMargins="0"/>
    </customSheetView>
    <customSheetView guid="{AEA5979F-5357-4ED6-A6CA-1BB80F5C7A74}" scale="75" colorId="22" showPageBreaks="1" fitToPage="1" printArea="1" hiddenColumns="1" showRuler="0">
      <selection activeCell="J28" sqref="J28"/>
      <pageMargins left="0" right="0" top="0" bottom="0" header="0" footer="0"/>
      <pageSetup orientation="landscape" r:id="rId3"/>
      <headerFooter alignWithMargins="0"/>
    </customSheetView>
    <customSheetView guid="{EB776EFC-3589-4DB5-BEAF-1E83D9703F9E}" scale="65" colorId="22" fitToPage="1" hiddenColumns="1" showRuler="0" topLeftCell="A4">
      <selection activeCell="C19" sqref="C19"/>
      <pageMargins left="0" right="0" top="0" bottom="0" header="0" footer="0"/>
      <pageSetup orientation="landscape" r:id="rId4"/>
      <headerFooter alignWithMargins="0"/>
    </customSheetView>
    <customSheetView guid="{FBB4BF8E-8A9F-4E98-A6F9-5F9BF4C55C67}" scale="65" colorId="22" showPageBreaks="1" fitToPage="1" printArea="1" hiddenColumns="1" showRuler="0">
      <selection activeCell="J16" sqref="J16"/>
      <pageMargins left="0" right="0" top="0" bottom="0" header="0" footer="0"/>
      <pageSetup orientation="landscape" r:id="rId5"/>
      <headerFooter alignWithMargins="0"/>
    </customSheetView>
    <customSheetView guid="{6EF643BE-69F3-424E-8A44-3890161370D4}" scale="75" colorId="22" showPageBreaks="1" fitToPage="1" printArea="1" hiddenColumns="1" showRuler="0" topLeftCell="A10">
      <selection activeCell="J28" sqref="J28"/>
      <pageMargins left="0" right="0" top="0" bottom="0" header="0" footer="0"/>
      <pageSetup orientation="landscape" r:id="rId6"/>
      <headerFooter alignWithMargins="0"/>
    </customSheetView>
    <customSheetView guid="{1ECE83C7-A3CE-4F97-BFD3-498FF783C0D9}" scale="75" colorId="22" showPageBreaks="1" printArea="1" hiddenColumns="1" showRuler="0">
      <selection activeCell="H29" sqref="H29"/>
      <pageMargins left="0" right="0" top="0" bottom="0" header="0" footer="0"/>
      <pageSetup scale="93" orientation="landscape" r:id="rId7"/>
      <headerFooter alignWithMargins="0"/>
    </customSheetView>
    <customSheetView guid="{560D4AFA-61E5-46C3-B0CD-D0EB3053A033}" scale="75" colorId="22" showPageBreaks="1" printArea="1" hiddenRows="1" hiddenColumns="1" showRuler="0" topLeftCell="A2">
      <selection activeCell="H26" sqref="H26"/>
      <pageMargins left="0" right="0" top="0" bottom="0" header="0" footer="0"/>
      <pageSetup scale="93" orientation="landscape" r:id="rId8"/>
      <headerFooter alignWithMargins="0"/>
    </customSheetView>
  </customSheetViews>
  <mergeCells count="11">
    <mergeCell ref="J23:J30"/>
    <mergeCell ref="G9:I9"/>
    <mergeCell ref="H23:I23"/>
    <mergeCell ref="K15:L15"/>
    <mergeCell ref="K16:L16"/>
    <mergeCell ref="H30:I30"/>
    <mergeCell ref="H31:I31"/>
    <mergeCell ref="H15:I15"/>
    <mergeCell ref="H19:I19"/>
    <mergeCell ref="H20:I20"/>
    <mergeCell ref="H27:I27"/>
  </mergeCells>
  <phoneticPr fontId="0" type="noConversion"/>
  <printOptions horizontalCentered="1" verticalCentered="1"/>
  <pageMargins left="0.75" right="0.5" top="0.75" bottom="0.5" header="0.5" footer="0.5"/>
  <pageSetup firstPageNumber="210" orientation="portrait" useFirstPageNumber="1" r:id="rId9"/>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pageSetUpPr fitToPage="1"/>
  </sheetPr>
  <dimension ref="A1:N47"/>
  <sheetViews>
    <sheetView workbookViewId="0"/>
  </sheetViews>
  <sheetFormatPr defaultColWidth="9.77734375" defaultRowHeight="15"/>
  <cols>
    <col min="1" max="1" width="35.44140625" bestFit="1" customWidth="1"/>
    <col min="2" max="2" width="11.77734375" bestFit="1" customWidth="1"/>
    <col min="4" max="4" width="13.109375" customWidth="1"/>
    <col min="6" max="7" width="12.6640625" customWidth="1"/>
    <col min="8" max="8" width="20.88671875" customWidth="1"/>
    <col min="9" max="9" width="18.77734375" customWidth="1"/>
    <col min="10" max="10" width="19.21875" customWidth="1"/>
    <col min="11" max="11" width="17.44140625" customWidth="1"/>
    <col min="12" max="12" width="12.6640625" customWidth="1"/>
    <col min="13" max="13" width="10.77734375" bestFit="1" customWidth="1"/>
    <col min="14" max="14" width="11" bestFit="1" customWidth="1"/>
  </cols>
  <sheetData>
    <row r="1" spans="1:14" ht="15.75">
      <c r="A1" s="1" t="str">
        <f>'M and O'!A1</f>
        <v xml:space="preserve">Project Name: </v>
      </c>
      <c r="E1" s="2"/>
      <c r="F1" s="25"/>
      <c r="G1" s="2"/>
      <c r="H1" s="2"/>
      <c r="I1" s="2"/>
      <c r="J1" s="2"/>
      <c r="K1" s="17"/>
      <c r="L1" s="17"/>
      <c r="M1" s="2"/>
      <c r="N1" s="2"/>
    </row>
    <row r="2" spans="1:14" ht="15.75">
      <c r="A2" s="1" t="str">
        <f>'M and O'!A2</f>
        <v>Development Team:</v>
      </c>
      <c r="E2" s="2"/>
      <c r="F2" s="25"/>
      <c r="G2" s="2"/>
      <c r="H2" s="2"/>
      <c r="I2" s="2"/>
      <c r="J2" s="2"/>
      <c r="K2" s="17"/>
      <c r="L2" s="17"/>
      <c r="M2" s="2"/>
      <c r="N2" s="2"/>
    </row>
    <row r="3" spans="1:14" ht="15.75">
      <c r="A3" s="1" t="str">
        <f>'M and O'!A3</f>
        <v>Site:</v>
      </c>
      <c r="B3" s="2"/>
      <c r="E3" s="2"/>
      <c r="F3" s="2"/>
      <c r="G3" s="2"/>
      <c r="H3" s="2"/>
      <c r="I3" s="2"/>
      <c r="J3" s="2"/>
      <c r="K3" s="17" t="str">
        <f>'Sources and Use'!C3</f>
        <v>Units:</v>
      </c>
      <c r="L3" s="17">
        <f>'Units &amp; Income'!C24</f>
        <v>0</v>
      </c>
      <c r="M3" s="2"/>
      <c r="N3" s="2"/>
    </row>
    <row r="4" spans="1:14" ht="15.75">
      <c r="A4" s="1"/>
      <c r="B4" s="2"/>
      <c r="C4" s="2"/>
      <c r="D4" s="2"/>
      <c r="E4" s="2"/>
      <c r="F4" s="2"/>
      <c r="G4" s="2"/>
      <c r="H4" s="2"/>
      <c r="I4" s="2"/>
      <c r="J4" s="2"/>
      <c r="K4" s="2"/>
      <c r="L4" s="2"/>
      <c r="M4" s="2"/>
      <c r="N4" s="2"/>
    </row>
    <row r="5" spans="1:14">
      <c r="B5" s="2"/>
      <c r="C5" s="2"/>
      <c r="D5" s="2"/>
      <c r="E5" s="2"/>
      <c r="F5" s="40"/>
      <c r="G5" s="2"/>
      <c r="H5" s="4"/>
      <c r="I5" s="4"/>
      <c r="J5" s="4"/>
      <c r="K5" s="13"/>
      <c r="L5" s="2"/>
      <c r="M5" s="2"/>
      <c r="N5" s="2"/>
    </row>
    <row r="6" spans="1:14" ht="15.75">
      <c r="A6" s="18" t="s">
        <v>294</v>
      </c>
      <c r="B6" s="2"/>
      <c r="C6" s="2"/>
      <c r="D6" s="2"/>
      <c r="E6" s="2"/>
      <c r="F6" s="40"/>
      <c r="G6" s="2"/>
      <c r="H6" s="2"/>
      <c r="I6" s="2"/>
      <c r="J6" s="2"/>
      <c r="K6" s="4"/>
      <c r="L6" s="13"/>
      <c r="M6" s="13"/>
      <c r="N6" s="13"/>
    </row>
    <row r="7" spans="1:14" ht="16.5" thickBot="1">
      <c r="A7" s="94"/>
      <c r="B7" s="95"/>
      <c r="C7" s="95"/>
      <c r="D7" s="95"/>
      <c r="E7" s="4"/>
      <c r="F7" s="95"/>
      <c r="G7" s="95"/>
      <c r="H7" s="95"/>
      <c r="I7" s="95"/>
      <c r="J7" s="95"/>
      <c r="K7" s="96"/>
      <c r="L7" s="96"/>
      <c r="M7" s="4"/>
      <c r="N7" s="4"/>
    </row>
    <row r="8" spans="1:14" ht="16.5" thickTop="1">
      <c r="A8" s="509"/>
      <c r="B8" s="746"/>
      <c r="C8" s="746"/>
      <c r="D8" s="747"/>
      <c r="E8" s="748"/>
      <c r="F8" s="18" t="s">
        <v>295</v>
      </c>
      <c r="G8" s="18"/>
      <c r="H8" s="638"/>
      <c r="I8" s="293" t="s">
        <v>296</v>
      </c>
      <c r="J8" s="14"/>
      <c r="L8" s="97"/>
      <c r="M8" s="2"/>
      <c r="N8" s="2"/>
    </row>
    <row r="9" spans="1:14" ht="15.75">
      <c r="A9" s="749" t="s">
        <v>297</v>
      </c>
      <c r="B9" s="4"/>
      <c r="C9" s="4"/>
      <c r="D9" s="750"/>
      <c r="E9" s="748"/>
      <c r="F9" s="49"/>
      <c r="G9" s="751"/>
      <c r="H9" s="752"/>
      <c r="I9" s="4"/>
      <c r="K9" s="45" t="s">
        <v>298</v>
      </c>
      <c r="L9" s="753"/>
      <c r="M9" s="2"/>
      <c r="N9" s="2"/>
    </row>
    <row r="10" spans="1:14">
      <c r="A10" s="754" t="s">
        <v>299</v>
      </c>
      <c r="B10" s="755"/>
      <c r="C10" s="4"/>
      <c r="D10" s="750">
        <f>'Units &amp; Income'!J118</f>
        <v>0</v>
      </c>
      <c r="E10" s="756"/>
      <c r="F10" s="49" t="s">
        <v>300</v>
      </c>
      <c r="G10" s="751"/>
      <c r="H10" s="757"/>
      <c r="I10" s="4"/>
      <c r="J10" s="6" t="s">
        <v>301</v>
      </c>
      <c r="K10" s="151"/>
      <c r="L10" s="535"/>
      <c r="M10" s="2"/>
      <c r="N10" s="2"/>
    </row>
    <row r="11" spans="1:14">
      <c r="A11" s="758" t="s">
        <v>302</v>
      </c>
      <c r="B11" s="759">
        <v>0.05</v>
      </c>
      <c r="C11" s="9"/>
      <c r="D11" s="750">
        <f>B11*-D10</f>
        <v>0</v>
      </c>
      <c r="E11" s="756"/>
      <c r="F11" s="519" t="s">
        <v>303</v>
      </c>
      <c r="G11" s="354"/>
      <c r="H11" s="757"/>
      <c r="J11" s="3" t="s">
        <v>304</v>
      </c>
      <c r="K11" s="151"/>
      <c r="L11" s="535"/>
      <c r="M11" s="2"/>
    </row>
    <row r="12" spans="1:14">
      <c r="A12" s="760" t="s">
        <v>305</v>
      </c>
      <c r="B12" s="44"/>
      <c r="C12" s="44"/>
      <c r="D12" s="761">
        <f>D10+D11</f>
        <v>0</v>
      </c>
      <c r="E12" s="756"/>
      <c r="F12" s="49" t="s">
        <v>306</v>
      </c>
      <c r="G12" s="751"/>
      <c r="H12" s="757"/>
      <c r="J12" s="6" t="s">
        <v>307</v>
      </c>
      <c r="K12" s="9">
        <f>SUM(K10:K11)</f>
        <v>0</v>
      </c>
      <c r="L12" s="535"/>
      <c r="M12" s="2"/>
    </row>
    <row r="13" spans="1:14">
      <c r="A13" s="762"/>
      <c r="B13" s="49"/>
      <c r="C13" s="49"/>
      <c r="D13" s="643"/>
      <c r="E13" s="756"/>
      <c r="F13" s="49" t="s">
        <v>308</v>
      </c>
      <c r="G13" s="751"/>
      <c r="H13" s="757"/>
      <c r="L13" s="535"/>
      <c r="M13" s="2"/>
    </row>
    <row r="14" spans="1:14">
      <c r="A14" s="754" t="s">
        <v>309</v>
      </c>
      <c r="B14" s="9"/>
      <c r="C14" s="9"/>
      <c r="D14" s="750">
        <f>'Units &amp; Income'!E31</f>
        <v>0</v>
      </c>
      <c r="E14" s="756"/>
      <c r="F14" s="49" t="s">
        <v>310</v>
      </c>
      <c r="G14" s="751"/>
      <c r="H14" s="757"/>
      <c r="J14" s="2"/>
      <c r="K14" s="53"/>
      <c r="L14" s="521"/>
      <c r="M14" s="2"/>
    </row>
    <row r="15" spans="1:14">
      <c r="A15" s="754" t="s">
        <v>311</v>
      </c>
      <c r="B15" s="9"/>
      <c r="C15" s="9"/>
      <c r="D15" s="750">
        <f>'Units &amp; Income'!E35</f>
        <v>0</v>
      </c>
      <c r="E15" s="756"/>
      <c r="F15" s="660" t="s">
        <v>312</v>
      </c>
      <c r="G15" s="763"/>
      <c r="H15" s="757"/>
      <c r="J15" s="4"/>
      <c r="L15" s="521"/>
      <c r="M15" s="2"/>
    </row>
    <row r="16" spans="1:14">
      <c r="A16" s="754" t="s">
        <v>313</v>
      </c>
      <c r="B16" s="9"/>
      <c r="C16" s="9"/>
      <c r="D16" s="750">
        <f>'Units &amp; Income'!E37</f>
        <v>0</v>
      </c>
      <c r="E16" s="756"/>
      <c r="F16" s="764"/>
      <c r="G16" s="4"/>
      <c r="H16" s="765">
        <f>SUM(H10:H15)</f>
        <v>0</v>
      </c>
      <c r="I16" s="4"/>
      <c r="J16" s="4"/>
      <c r="K16" s="9"/>
      <c r="L16" s="521"/>
      <c r="M16" s="2"/>
      <c r="N16" s="2"/>
    </row>
    <row r="17" spans="1:14">
      <c r="A17" s="754" t="s">
        <v>314</v>
      </c>
      <c r="B17" s="9"/>
      <c r="C17" s="9"/>
      <c r="D17" s="750">
        <f>'Units &amp; Income'!E40</f>
        <v>0</v>
      </c>
      <c r="E17" s="2"/>
      <c r="F17" s="113"/>
      <c r="G17" s="70"/>
      <c r="H17" s="112"/>
      <c r="I17" s="70"/>
      <c r="J17" s="70"/>
      <c r="K17" s="70"/>
      <c r="L17" s="112"/>
      <c r="M17" s="2"/>
      <c r="N17" s="2"/>
    </row>
    <row r="18" spans="1:14" ht="15.75" thickBot="1">
      <c r="A18" s="766" t="s">
        <v>315</v>
      </c>
      <c r="B18" s="759">
        <v>0.1</v>
      </c>
      <c r="C18" s="9"/>
      <c r="D18" s="750">
        <f>-(D14*B18)</f>
        <v>0</v>
      </c>
      <c r="E18" s="2"/>
      <c r="F18" s="95"/>
      <c r="G18" s="95"/>
      <c r="H18" s="95"/>
      <c r="I18" s="95"/>
      <c r="J18" s="95"/>
      <c r="K18" s="103"/>
      <c r="L18" s="104"/>
      <c r="M18" s="2"/>
      <c r="N18" s="2"/>
    </row>
    <row r="19" spans="1:14" ht="15.75" thickTop="1">
      <c r="A19" s="766" t="s">
        <v>316</v>
      </c>
      <c r="B19" s="767">
        <v>0.1</v>
      </c>
      <c r="C19" s="768"/>
      <c r="D19" s="750">
        <f>-(D15*B19)</f>
        <v>0</v>
      </c>
      <c r="E19" s="98"/>
      <c r="F19" s="2"/>
      <c r="H19" s="3"/>
      <c r="I19" s="114"/>
      <c r="J19" s="2"/>
      <c r="K19" s="2"/>
      <c r="L19" s="521"/>
    </row>
    <row r="20" spans="1:14">
      <c r="A20" s="766" t="s">
        <v>317</v>
      </c>
      <c r="B20" s="767">
        <v>0.1</v>
      </c>
      <c r="D20" s="750">
        <f>-(D16*B20)</f>
        <v>0</v>
      </c>
      <c r="E20" s="98"/>
      <c r="F20" s="2"/>
      <c r="H20" s="6"/>
      <c r="I20" s="115"/>
      <c r="J20" s="9"/>
      <c r="K20" s="4"/>
      <c r="L20" s="521"/>
    </row>
    <row r="21" spans="1:14">
      <c r="A21" s="766" t="s">
        <v>318</v>
      </c>
      <c r="B21" s="767">
        <v>0.1</v>
      </c>
      <c r="C21" s="49"/>
      <c r="D21" s="750">
        <f>-(D17*B21)</f>
        <v>0</v>
      </c>
      <c r="E21" s="98"/>
      <c r="F21" s="2"/>
      <c r="I21" s="116"/>
      <c r="J21" s="2"/>
      <c r="K21" s="2"/>
      <c r="L21" s="521"/>
    </row>
    <row r="22" spans="1:14">
      <c r="A22" s="769" t="s">
        <v>319</v>
      </c>
      <c r="B22" s="43"/>
      <c r="C22" s="43"/>
      <c r="D22" s="761">
        <f>SUM(D14:D21)</f>
        <v>0</v>
      </c>
      <c r="E22" s="98"/>
      <c r="F22" s="2"/>
      <c r="H22" s="3" t="s">
        <v>320</v>
      </c>
      <c r="I22" s="119"/>
      <c r="J22" s="2" t="s">
        <v>321</v>
      </c>
      <c r="K22" s="2"/>
      <c r="L22" s="521"/>
    </row>
    <row r="23" spans="1:14" ht="15.75">
      <c r="A23" s="770" t="s">
        <v>322</v>
      </c>
      <c r="B23" s="771"/>
      <c r="C23" s="771"/>
      <c r="D23" s="772">
        <f>D12+D22</f>
        <v>0</v>
      </c>
      <c r="E23" s="98"/>
      <c r="F23" s="2"/>
      <c r="H23" s="3" t="s">
        <v>323</v>
      </c>
      <c r="I23" s="217">
        <f>SECOND</f>
        <v>0</v>
      </c>
      <c r="L23" s="773"/>
    </row>
    <row r="24" spans="1:14">
      <c r="A24" s="764"/>
      <c r="B24" s="9"/>
      <c r="C24" s="9"/>
      <c r="D24" s="750"/>
      <c r="E24" s="98"/>
      <c r="F24" s="2"/>
      <c r="G24" s="49"/>
      <c r="H24" s="3" t="s">
        <v>324</v>
      </c>
      <c r="I24" s="117">
        <f>J31</f>
        <v>0</v>
      </c>
      <c r="J24" s="2"/>
      <c r="K24" s="2"/>
      <c r="L24" s="521"/>
    </row>
    <row r="25" spans="1:14" ht="15.75">
      <c r="A25" s="749" t="s">
        <v>233</v>
      </c>
      <c r="B25" s="9"/>
      <c r="C25" s="9"/>
      <c r="D25" s="750"/>
      <c r="E25" s="98"/>
      <c r="F25" s="2"/>
      <c r="H25" s="45" t="s">
        <v>325</v>
      </c>
      <c r="I25" s="117">
        <f>K31</f>
        <v>0</v>
      </c>
      <c r="J25" s="2"/>
      <c r="K25" s="2"/>
      <c r="L25" s="521"/>
    </row>
    <row r="26" spans="1:14">
      <c r="A26" s="754" t="s">
        <v>326</v>
      </c>
      <c r="B26" s="5" t="e">
        <f ca="1">D26/'Units &amp; Income'!C24</f>
        <v>#DIV/0!</v>
      </c>
      <c r="C26" s="5" t="s">
        <v>238</v>
      </c>
      <c r="D26" s="750" t="e">
        <f ca="1">'M and O'!C42-'M and O'!C34</f>
        <v>#DIV/0!</v>
      </c>
      <c r="E26" s="98"/>
      <c r="F26" s="91"/>
      <c r="G26" s="92"/>
      <c r="H26" s="100" t="s">
        <v>327</v>
      </c>
      <c r="I26" s="774">
        <f>I22+I23+I24+I25</f>
        <v>0</v>
      </c>
      <c r="J26" s="92"/>
      <c r="K26" s="92"/>
      <c r="L26" s="102"/>
    </row>
    <row r="27" spans="1:14" ht="15.75" thickBot="1">
      <c r="A27" s="754" t="s">
        <v>328</v>
      </c>
      <c r="B27" s="5" t="e">
        <f>D27/'Units &amp; Income'!C24</f>
        <v>#DIV/0!</v>
      </c>
      <c r="C27" s="5" t="s">
        <v>238</v>
      </c>
      <c r="D27" s="750">
        <f>'M and O'!C46</f>
        <v>0</v>
      </c>
      <c r="F27" s="105"/>
      <c r="G27" s="105"/>
      <c r="H27" s="105"/>
      <c r="I27" s="105"/>
      <c r="J27" s="287"/>
      <c r="K27" s="287"/>
      <c r="L27" s="105"/>
    </row>
    <row r="28" spans="1:14" ht="15.75" thickTop="1">
      <c r="A28" s="754" t="s">
        <v>329</v>
      </c>
      <c r="B28" s="5" t="e">
        <f>D28/'Units &amp; Income'!C24</f>
        <v>#DIV/0!</v>
      </c>
      <c r="C28" s="4" t="s">
        <v>238</v>
      </c>
      <c r="D28" s="750">
        <f>'M and O'!C34</f>
        <v>0</v>
      </c>
      <c r="E28" s="98"/>
      <c r="F28" s="2"/>
      <c r="G28" s="124"/>
      <c r="H28" s="125" t="s">
        <v>330</v>
      </c>
      <c r="I28" s="109" t="s">
        <v>331</v>
      </c>
      <c r="J28" s="292" t="s">
        <v>332</v>
      </c>
      <c r="K28" s="292" t="s">
        <v>333</v>
      </c>
      <c r="L28" s="109"/>
      <c r="M28" s="134"/>
    </row>
    <row r="29" spans="1:14" ht="15.75">
      <c r="A29" s="770" t="s">
        <v>334</v>
      </c>
      <c r="B29" s="7" t="e">
        <f ca="1">SUM(B26:B28)</f>
        <v>#DIV/0!</v>
      </c>
      <c r="C29" s="14" t="s">
        <v>238</v>
      </c>
      <c r="D29" s="775" t="e">
        <f ca="1">SUM(D26:D28)</f>
        <v>#DIV/0!</v>
      </c>
      <c r="E29" s="98"/>
      <c r="H29" s="120"/>
      <c r="I29" s="201"/>
      <c r="J29" s="120"/>
      <c r="K29" s="120"/>
      <c r="M29" s="134"/>
    </row>
    <row r="30" spans="1:14">
      <c r="A30" s="733"/>
      <c r="D30" s="773"/>
      <c r="E30" s="98"/>
      <c r="F30" s="509"/>
      <c r="G30" s="2"/>
      <c r="H30" s="109" t="s">
        <v>335</v>
      </c>
      <c r="I30" s="291" t="s">
        <v>336</v>
      </c>
      <c r="J30" s="109" t="s">
        <v>337</v>
      </c>
      <c r="K30" s="127" t="s">
        <v>338</v>
      </c>
      <c r="L30" s="109" t="s">
        <v>96</v>
      </c>
      <c r="M30" s="134"/>
    </row>
    <row r="31" spans="1:14">
      <c r="A31" s="733"/>
      <c r="D31" s="773"/>
      <c r="E31" s="98"/>
      <c r="F31" s="2"/>
      <c r="G31" s="2"/>
      <c r="H31" s="2" t="e">
        <f ca="1">-PV(H32/12,H33*12,(D37-I37-J37-K37)/12,H35)-H29</f>
        <v>#DIV/0!</v>
      </c>
      <c r="I31" s="203">
        <f>H42*('Units &amp; Income'!C24-SUM('Units &amp; Income'!I111:I114))</f>
        <v>0</v>
      </c>
      <c r="J31" s="204">
        <f>H43*('Units &amp; Income'!C24-SUM('Units &amp; Income'!I111:I114))</f>
        <v>0</v>
      </c>
      <c r="K31" s="205">
        <f>H44*('Units &amp; Income'!C24-SUM('Units &amp; Income'!I111:I114))</f>
        <v>0</v>
      </c>
      <c r="L31" s="5" t="e">
        <f ca="1">I31+H31+J31+K31</f>
        <v>#DIV/0!</v>
      </c>
      <c r="M31" s="134"/>
    </row>
    <row r="32" spans="1:14" ht="15.75">
      <c r="A32" s="749" t="s">
        <v>339</v>
      </c>
      <c r="B32" s="14"/>
      <c r="C32" s="14"/>
      <c r="D32" s="775" t="e">
        <f ca="1">D23-D29</f>
        <v>#DIV/0!</v>
      </c>
      <c r="E32" s="98"/>
      <c r="G32" s="45" t="s">
        <v>148</v>
      </c>
      <c r="H32" s="126">
        <f>K12</f>
        <v>0</v>
      </c>
      <c r="I32" s="120"/>
      <c r="J32" s="120"/>
      <c r="K32" s="120"/>
      <c r="M32" s="134"/>
    </row>
    <row r="33" spans="1:14">
      <c r="A33" s="733"/>
      <c r="D33" s="773"/>
      <c r="E33" s="98"/>
      <c r="F33" s="2"/>
      <c r="G33" s="776" t="s">
        <v>111</v>
      </c>
      <c r="H33" s="118"/>
      <c r="I33" s="118"/>
      <c r="J33" s="119"/>
      <c r="K33" s="119"/>
      <c r="L33" s="5"/>
      <c r="M33" s="134"/>
    </row>
    <row r="34" spans="1:14">
      <c r="A34" s="764"/>
      <c r="B34" s="4"/>
      <c r="C34" s="4"/>
      <c r="D34" s="750"/>
      <c r="E34" s="98"/>
      <c r="F34" s="3" t="s">
        <v>340</v>
      </c>
      <c r="G34" s="3" t="s">
        <v>341</v>
      </c>
      <c r="H34" s="5" t="e">
        <f ca="1">H31-H4</f>
        <v>#DIV/0!</v>
      </c>
      <c r="I34" s="5">
        <f>SECOND-I35</f>
        <v>0</v>
      </c>
      <c r="J34" s="5">
        <f>J31-J35</f>
        <v>0</v>
      </c>
      <c r="K34" s="5">
        <f>K31-K35</f>
        <v>0</v>
      </c>
      <c r="L34" s="46"/>
      <c r="M34" s="134"/>
      <c r="N34" s="191"/>
    </row>
    <row r="35" spans="1:14">
      <c r="A35" s="764" t="s">
        <v>342</v>
      </c>
      <c r="B35" s="4"/>
      <c r="C35" s="4"/>
      <c r="D35" s="750" t="e">
        <f ca="1">(+D23/1.05)-(D29)</f>
        <v>#DIV/0!</v>
      </c>
      <c r="E35" s="98"/>
      <c r="F35" s="2"/>
      <c r="G35" s="3" t="s">
        <v>343</v>
      </c>
      <c r="H35" s="5">
        <v>0</v>
      </c>
      <c r="I35" s="5">
        <f>-FV(I32/12,I33*12,-(I37/12),SECOND)</f>
        <v>0</v>
      </c>
      <c r="J35" s="5">
        <f>-FV(J32/12, J33*12, -J37/12, J31)</f>
        <v>0</v>
      </c>
      <c r="K35" s="5">
        <f>-FV(K32/12, K33*12, -K37/12, K31)</f>
        <v>0</v>
      </c>
      <c r="L35" s="46"/>
      <c r="M35" s="134"/>
    </row>
    <row r="36" spans="1:14">
      <c r="A36" s="777" t="s">
        <v>344</v>
      </c>
      <c r="B36" s="70"/>
      <c r="D36" s="773"/>
      <c r="E36" s="98"/>
      <c r="G36" s="3" t="s">
        <v>345</v>
      </c>
      <c r="H36" s="47" t="e">
        <f ca="1">H35/FIRST</f>
        <v>#DIV/0!</v>
      </c>
      <c r="I36" s="47" t="e">
        <f>I35/I31</f>
        <v>#DIV/0!</v>
      </c>
      <c r="J36" s="47" t="e">
        <f>J35/J31</f>
        <v>#DIV/0!</v>
      </c>
      <c r="K36" s="47" t="e">
        <f>K35/K31</f>
        <v>#DIV/0!</v>
      </c>
      <c r="M36" s="194"/>
    </row>
    <row r="37" spans="1:14">
      <c r="A37" s="748" t="s">
        <v>346</v>
      </c>
      <c r="B37" s="107"/>
      <c r="D37" s="750" t="e">
        <f ca="1">NOI/B37</f>
        <v>#DIV/0!</v>
      </c>
      <c r="E37" s="98"/>
      <c r="F37" s="4"/>
      <c r="G37" s="3" t="s">
        <v>347</v>
      </c>
      <c r="H37" s="66" t="e">
        <f ca="1">PMT(H32/12, H33*12, -FIRST, 0)*12</f>
        <v>#DIV/0!</v>
      </c>
      <c r="I37" s="66">
        <f>SECOND*I29</f>
        <v>0</v>
      </c>
      <c r="J37" s="66">
        <f>+J31*J29</f>
        <v>0</v>
      </c>
      <c r="K37" s="66">
        <f>+K31*K29</f>
        <v>0</v>
      </c>
      <c r="L37" s="66" t="e">
        <f ca="1">SUM(H37:J37)</f>
        <v>#DIV/0!</v>
      </c>
      <c r="M37" s="195"/>
    </row>
    <row r="38" spans="1:14">
      <c r="A38" s="778" t="s">
        <v>348</v>
      </c>
      <c r="D38" s="779" t="e">
        <f ca="1">D23/(D29+D37)</f>
        <v>#DIV/0!</v>
      </c>
      <c r="E38" s="2"/>
      <c r="F38" s="99"/>
      <c r="G38" s="100" t="s">
        <v>349</v>
      </c>
      <c r="H38" s="101" t="e">
        <f ca="1">NOI/H37</f>
        <v>#DIV/0!</v>
      </c>
      <c r="I38" s="101" t="e">
        <f ca="1">NOI/(I37+H37)</f>
        <v>#DIV/0!</v>
      </c>
      <c r="J38" s="101" t="e">
        <f ca="1">NOI/(J37+I37+H37)</f>
        <v>#DIV/0!</v>
      </c>
      <c r="K38" s="101" t="e">
        <f ca="1">NOI/(K37+J37+I37)</f>
        <v>#DIV/0!</v>
      </c>
      <c r="L38" s="193" t="e">
        <f ca="1">NOI/L37</f>
        <v>#DIV/0!</v>
      </c>
      <c r="M38" s="134"/>
    </row>
    <row r="39" spans="1:14">
      <c r="A39" s="777" t="s">
        <v>350</v>
      </c>
      <c r="B39" s="70"/>
      <c r="D39" s="773"/>
      <c r="E39" s="2"/>
      <c r="L39" s="2"/>
    </row>
    <row r="40" spans="1:14">
      <c r="A40" s="748" t="s">
        <v>346</v>
      </c>
      <c r="B40" s="108"/>
      <c r="D40" s="750" t="e">
        <f ca="1">D32/B40</f>
        <v>#DIV/0!</v>
      </c>
      <c r="E40" s="2"/>
      <c r="J40" s="19"/>
      <c r="L40" s="5"/>
      <c r="M40" s="2"/>
      <c r="N40" s="2"/>
    </row>
    <row r="41" spans="1:14" ht="15.75">
      <c r="A41" s="655" t="s">
        <v>348</v>
      </c>
      <c r="B41" s="2"/>
      <c r="C41" s="2"/>
      <c r="D41" s="779" t="e">
        <f ca="1">D23/(D29+D40)</f>
        <v>#DIV/0!</v>
      </c>
      <c r="E41" s="2"/>
      <c r="G41" s="14" t="s">
        <v>351</v>
      </c>
      <c r="H41" s="2"/>
      <c r="I41" s="46"/>
      <c r="J41" s="46"/>
      <c r="K41" s="5"/>
      <c r="L41" s="2"/>
      <c r="M41" s="2"/>
      <c r="N41" s="5"/>
    </row>
    <row r="42" spans="1:14">
      <c r="A42" s="509"/>
      <c r="B42" s="2"/>
      <c r="C42" s="2"/>
      <c r="D42" s="750"/>
      <c r="E42" s="2"/>
      <c r="F42" s="109" t="s">
        <v>336</v>
      </c>
      <c r="G42" s="2" t="s">
        <v>352</v>
      </c>
      <c r="H42" s="294"/>
      <c r="I42" s="48" t="s">
        <v>29</v>
      </c>
      <c r="J42" s="46"/>
      <c r="K42" s="5"/>
      <c r="L42" s="2"/>
      <c r="M42" s="2"/>
      <c r="N42" s="5"/>
    </row>
    <row r="43" spans="1:14">
      <c r="A43" s="91"/>
      <c r="B43" s="92"/>
      <c r="C43" s="92"/>
      <c r="D43" s="93"/>
      <c r="E43" s="2"/>
      <c r="F43" s="109" t="s">
        <v>337</v>
      </c>
      <c r="G43" s="2" t="s">
        <v>352</v>
      </c>
      <c r="H43" s="106"/>
      <c r="I43" s="48" t="s">
        <v>29</v>
      </c>
      <c r="J43" s="5"/>
      <c r="K43" s="2"/>
      <c r="L43" s="2"/>
      <c r="M43" s="2"/>
      <c r="N43" s="5"/>
    </row>
    <row r="44" spans="1:14">
      <c r="A44" s="15"/>
      <c r="B44" s="2"/>
      <c r="C44" s="12"/>
      <c r="D44" s="2"/>
      <c r="E44" s="2"/>
      <c r="F44" s="127" t="s">
        <v>338</v>
      </c>
      <c r="G44" s="2" t="s">
        <v>352</v>
      </c>
      <c r="H44" s="106"/>
      <c r="I44" s="48" t="s">
        <v>29</v>
      </c>
      <c r="J44" s="196"/>
      <c r="K44" s="196"/>
      <c r="L44" s="196"/>
      <c r="M44" s="196"/>
      <c r="N44" s="196"/>
    </row>
    <row r="45" spans="1:14">
      <c r="E45" s="15"/>
      <c r="H45" s="64"/>
      <c r="I45" s="198"/>
      <c r="J45" s="199"/>
      <c r="K45" s="199"/>
      <c r="L45" s="199"/>
      <c r="M45" s="199"/>
      <c r="N45" s="199"/>
    </row>
    <row r="46" spans="1:14">
      <c r="K46" s="19"/>
      <c r="L46" s="19"/>
      <c r="M46" s="19"/>
      <c r="N46" s="19"/>
    </row>
    <row r="47" spans="1:14">
      <c r="J47" s="197"/>
      <c r="K47" s="197"/>
      <c r="L47" s="197"/>
      <c r="M47" s="197"/>
      <c r="N47" s="197"/>
    </row>
  </sheetData>
  <customSheetViews>
    <customSheetView guid="{25C4E7E7-1006-4A2D-BC83-AEE4ADF8A914}" scale="75" colorId="22" showPageBreaks="1" fitToPage="1" printArea="1" showRuler="0" topLeftCell="B22">
      <selection activeCell="H30" sqref="H30"/>
      <pageMargins left="0" right="0" top="0" bottom="0" header="0" footer="0"/>
      <pageSetup scale="64" orientation="landscape" r:id="rId1"/>
      <headerFooter alignWithMargins="0"/>
    </customSheetView>
    <customSheetView guid="{28F81D13-D146-4D67-8981-BA5D7A496326}" scale="75" colorId="22" showPageBreaks="1" fitToPage="1" printArea="1" showRuler="0" topLeftCell="F20">
      <selection activeCell="A11" sqref="A11"/>
      <pageMargins left="0" right="0" top="0" bottom="0" header="0" footer="0"/>
      <pageSetup scale="62" orientation="landscape" r:id="rId2"/>
      <headerFooter alignWithMargins="0"/>
    </customSheetView>
    <customSheetView guid="{AEA5979F-5357-4ED6-A6CA-1BB80F5C7A74}" scale="75" colorId="22" showPageBreaks="1" fitToPage="1" printArea="1" showRuler="0" topLeftCell="C7">
      <selection activeCell="J36" sqref="J36"/>
      <pageMargins left="0" right="0" top="0" bottom="0" header="0" footer="0"/>
      <pageSetup scale="62" orientation="landscape" r:id="rId3"/>
      <headerFooter alignWithMargins="0"/>
    </customSheetView>
    <customSheetView guid="{EB776EFC-3589-4DB5-BEAF-1E83D9703F9E}" scale="75" colorId="22" fitToPage="1" showRuler="0" topLeftCell="F20">
      <selection activeCell="H39" sqref="H39"/>
      <pageMargins left="0" right="0" top="0" bottom="0" header="0" footer="0"/>
      <pageSetup scale="63" orientation="landscape" r:id="rId4"/>
      <headerFooter alignWithMargins="0"/>
    </customSheetView>
    <customSheetView guid="{FBB4BF8E-8A9F-4E98-A6F9-5F9BF4C55C67}" scale="75" colorId="22" showPageBreaks="1" fitToPage="1" printArea="1" showRuler="0" topLeftCell="F20">
      <selection activeCell="H28" sqref="H28"/>
      <pageMargins left="0" right="0" top="0" bottom="0" header="0" footer="0"/>
      <pageSetup scale="63" orientation="landscape" r:id="rId5"/>
      <headerFooter alignWithMargins="0"/>
    </customSheetView>
    <customSheetView guid="{6EF643BE-69F3-424E-8A44-3890161370D4}" scale="75" colorId="22" showPageBreaks="1" fitToPage="1" printArea="1" showRuler="0" topLeftCell="D19">
      <selection activeCell="H30" sqref="H30"/>
      <pageMargins left="0" right="0" top="0" bottom="0" header="0" footer="0"/>
      <pageSetup scale="62" orientation="landscape" r:id="rId6"/>
      <headerFooter alignWithMargins="0"/>
    </customSheetView>
    <customSheetView guid="{1ECE83C7-A3CE-4F97-BFD3-498FF783C0D9}" scale="75" colorId="22" showPageBreaks="1" fitToPage="1" printArea="1" showRuler="0" topLeftCell="A13">
      <selection activeCell="H29" sqref="H29"/>
      <pageMargins left="0" right="0" top="0" bottom="0" header="0" footer="0"/>
      <pageSetup scale="64" orientation="landscape" r:id="rId7"/>
      <headerFooter alignWithMargins="0"/>
    </customSheetView>
    <customSheetView guid="{560D4AFA-61E5-46C3-B0CD-D0EB3053A033}" scale="75" colorId="22" showPageBreaks="1" fitToPage="1" printArea="1" showRuler="0" topLeftCell="B10">
      <selection activeCell="H36" sqref="H36"/>
      <pageMargins left="0" right="0" top="0" bottom="0" header="0" footer="0"/>
      <pageSetup scale="64" orientation="landscape" r:id="rId8"/>
      <headerFooter alignWithMargins="0"/>
    </customSheetView>
  </customSheetViews>
  <phoneticPr fontId="0" type="noConversion"/>
  <pageMargins left="0.75" right="0.5" top="0.75" bottom="0.5" header="0.5" footer="0.5"/>
  <pageSetup scale="53" firstPageNumber="211" orientation="landscape" useFirstPageNumber="1" r:id="rId9"/>
  <headerFooter alignWithMargins="0"/>
  <legacy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42"/>
  <sheetViews>
    <sheetView workbookViewId="0"/>
  </sheetViews>
  <sheetFormatPr defaultRowHeight="15"/>
  <cols>
    <col min="1" max="1" width="36" customWidth="1"/>
    <col min="2" max="2" width="9.33203125" customWidth="1"/>
    <col min="3" max="14" width="11.77734375" style="50" customWidth="1"/>
    <col min="15" max="32" width="11.77734375" customWidth="1"/>
  </cols>
  <sheetData>
    <row r="1" spans="1:37" ht="15.75">
      <c r="A1" s="1" t="str">
        <f>'Units &amp; Income'!B1</f>
        <v xml:space="preserve">Project Name: </v>
      </c>
      <c r="M1" s="146"/>
      <c r="N1" s="146"/>
    </row>
    <row r="2" spans="1:37" ht="15.75">
      <c r="A2" s="1" t="str">
        <f>'Units &amp; Income'!B2</f>
        <v>Development Team:</v>
      </c>
      <c r="M2" s="146"/>
      <c r="N2" s="146"/>
    </row>
    <row r="3" spans="1:37" ht="15.75">
      <c r="A3" s="1" t="str">
        <f>'Sources and Use'!A3</f>
        <v>Site:</v>
      </c>
      <c r="B3" s="146" t="str">
        <f>'Sources and Use'!C3</f>
        <v>Units:</v>
      </c>
      <c r="C3" s="146">
        <f>'Units &amp; Income'!C24</f>
        <v>0</v>
      </c>
    </row>
    <row r="4" spans="1:37" ht="15.75">
      <c r="A4" s="1"/>
    </row>
    <row r="5" spans="1:37" s="45" customFormat="1">
      <c r="C5" s="398">
        <v>1</v>
      </c>
      <c r="D5" s="398">
        <v>2</v>
      </c>
      <c r="E5" s="398">
        <v>3</v>
      </c>
      <c r="F5" s="398">
        <v>4</v>
      </c>
      <c r="G5" s="398">
        <v>5</v>
      </c>
      <c r="H5" s="398">
        <v>6</v>
      </c>
      <c r="I5" s="398">
        <v>7</v>
      </c>
      <c r="J5" s="398">
        <v>8</v>
      </c>
      <c r="K5" s="398">
        <v>9</v>
      </c>
      <c r="L5" s="398">
        <v>10</v>
      </c>
      <c r="M5" s="398">
        <v>11</v>
      </c>
      <c r="N5" s="398">
        <v>12</v>
      </c>
      <c r="O5" s="398">
        <v>13</v>
      </c>
      <c r="P5" s="398">
        <v>14</v>
      </c>
      <c r="Q5" s="398">
        <v>15</v>
      </c>
      <c r="R5" s="397">
        <v>16</v>
      </c>
      <c r="S5" s="398">
        <v>17</v>
      </c>
      <c r="T5" s="398">
        <v>18</v>
      </c>
      <c r="U5" s="398">
        <v>19</v>
      </c>
      <c r="V5" s="398">
        <v>20</v>
      </c>
      <c r="W5" s="398">
        <v>21</v>
      </c>
      <c r="X5" s="398">
        <v>22</v>
      </c>
      <c r="Y5" s="398">
        <v>23</v>
      </c>
      <c r="Z5" s="398">
        <v>24</v>
      </c>
      <c r="AA5" s="398">
        <v>25</v>
      </c>
      <c r="AB5" s="398">
        <v>26</v>
      </c>
      <c r="AC5" s="398">
        <v>27</v>
      </c>
      <c r="AD5" s="398">
        <v>28</v>
      </c>
      <c r="AE5" s="398">
        <v>29</v>
      </c>
      <c r="AF5" s="398">
        <v>30</v>
      </c>
    </row>
    <row r="6" spans="1:37" s="45" customFormat="1" ht="15.75">
      <c r="A6" s="39" t="s">
        <v>353</v>
      </c>
      <c r="B6" s="411" t="s">
        <v>354</v>
      </c>
      <c r="C6" s="51"/>
      <c r="D6" s="51"/>
      <c r="E6" s="51"/>
      <c r="F6" s="51"/>
      <c r="G6" s="51"/>
      <c r="H6" s="51"/>
      <c r="I6" s="51"/>
      <c r="J6" s="51"/>
      <c r="K6" s="51"/>
      <c r="L6" s="51"/>
      <c r="M6" s="51"/>
      <c r="N6" s="51"/>
      <c r="O6" s="51"/>
      <c r="P6" s="51"/>
      <c r="Q6" s="399"/>
      <c r="R6" s="51"/>
      <c r="S6" s="51"/>
      <c r="T6" s="51"/>
      <c r="U6" s="51"/>
      <c r="V6" s="51"/>
      <c r="W6" s="51"/>
      <c r="X6" s="51"/>
      <c r="Y6" s="51"/>
      <c r="Z6" s="51"/>
      <c r="AA6" s="51"/>
      <c r="AB6" s="51"/>
      <c r="AC6" s="51"/>
      <c r="AD6" s="51"/>
      <c r="AE6" s="51"/>
      <c r="AF6" s="51"/>
    </row>
    <row r="7" spans="1:37">
      <c r="A7" s="45" t="s">
        <v>299</v>
      </c>
      <c r="B7" s="780">
        <v>0.02</v>
      </c>
      <c r="C7" s="50">
        <f>Mort!D12</f>
        <v>0</v>
      </c>
      <c r="D7" s="50">
        <f>C7*(1+$B7)</f>
        <v>0</v>
      </c>
      <c r="E7" s="50">
        <f t="shared" ref="E7:Q7" si="0">D7*(1+$B7)</f>
        <v>0</v>
      </c>
      <c r="F7" s="50">
        <f t="shared" si="0"/>
        <v>0</v>
      </c>
      <c r="G7" s="50">
        <f t="shared" si="0"/>
        <v>0</v>
      </c>
      <c r="H7" s="50">
        <f t="shared" si="0"/>
        <v>0</v>
      </c>
      <c r="I7" s="50">
        <f t="shared" si="0"/>
        <v>0</v>
      </c>
      <c r="J7" s="50">
        <f t="shared" si="0"/>
        <v>0</v>
      </c>
      <c r="K7" s="50">
        <f t="shared" si="0"/>
        <v>0</v>
      </c>
      <c r="L7" s="50">
        <f t="shared" si="0"/>
        <v>0</v>
      </c>
      <c r="M7" s="50">
        <f t="shared" si="0"/>
        <v>0</v>
      </c>
      <c r="N7" s="50">
        <f t="shared" si="0"/>
        <v>0</v>
      </c>
      <c r="O7" s="50">
        <f t="shared" si="0"/>
        <v>0</v>
      </c>
      <c r="P7" s="50">
        <f t="shared" si="0"/>
        <v>0</v>
      </c>
      <c r="Q7" s="400">
        <f t="shared" si="0"/>
        <v>0</v>
      </c>
      <c r="R7" s="50">
        <f t="shared" ref="R7:AF7" si="1">Q7*(1+$B7)</f>
        <v>0</v>
      </c>
      <c r="S7" s="50">
        <f t="shared" si="1"/>
        <v>0</v>
      </c>
      <c r="T7" s="50">
        <f t="shared" si="1"/>
        <v>0</v>
      </c>
      <c r="U7" s="50">
        <f t="shared" si="1"/>
        <v>0</v>
      </c>
      <c r="V7" s="50">
        <f t="shared" si="1"/>
        <v>0</v>
      </c>
      <c r="W7" s="50">
        <f t="shared" si="1"/>
        <v>0</v>
      </c>
      <c r="X7" s="50">
        <f t="shared" si="1"/>
        <v>0</v>
      </c>
      <c r="Y7" s="50">
        <f t="shared" si="1"/>
        <v>0</v>
      </c>
      <c r="Z7" s="50">
        <f t="shared" si="1"/>
        <v>0</v>
      </c>
      <c r="AA7" s="50">
        <f t="shared" si="1"/>
        <v>0</v>
      </c>
      <c r="AB7" s="50">
        <f t="shared" si="1"/>
        <v>0</v>
      </c>
      <c r="AC7" s="50">
        <f t="shared" si="1"/>
        <v>0</v>
      </c>
      <c r="AD7" s="50">
        <f t="shared" si="1"/>
        <v>0</v>
      </c>
      <c r="AE7" s="50">
        <f t="shared" si="1"/>
        <v>0</v>
      </c>
      <c r="AF7" s="50">
        <f t="shared" si="1"/>
        <v>0</v>
      </c>
      <c r="AG7" s="21"/>
      <c r="AH7" s="21"/>
      <c r="AI7" s="21"/>
      <c r="AJ7" s="21"/>
      <c r="AK7" s="21"/>
    </row>
    <row r="8" spans="1:37">
      <c r="A8" s="45" t="s">
        <v>309</v>
      </c>
      <c r="B8" s="780">
        <v>0.02</v>
      </c>
      <c r="C8" s="50">
        <f>Mort!D14+Mort!D18</f>
        <v>0</v>
      </c>
      <c r="D8" s="50">
        <f>C8*(1+$B8)</f>
        <v>0</v>
      </c>
      <c r="E8" s="50">
        <f t="shared" ref="E8:Q8" si="2">D8*(1+$B8)</f>
        <v>0</v>
      </c>
      <c r="F8" s="50">
        <f t="shared" si="2"/>
        <v>0</v>
      </c>
      <c r="G8" s="50">
        <f t="shared" si="2"/>
        <v>0</v>
      </c>
      <c r="H8" s="50">
        <f t="shared" si="2"/>
        <v>0</v>
      </c>
      <c r="I8" s="50">
        <f t="shared" si="2"/>
        <v>0</v>
      </c>
      <c r="J8" s="50">
        <f t="shared" si="2"/>
        <v>0</v>
      </c>
      <c r="K8" s="50">
        <f t="shared" si="2"/>
        <v>0</v>
      </c>
      <c r="L8" s="50">
        <f t="shared" si="2"/>
        <v>0</v>
      </c>
      <c r="M8" s="50">
        <f t="shared" si="2"/>
        <v>0</v>
      </c>
      <c r="N8" s="50">
        <f t="shared" si="2"/>
        <v>0</v>
      </c>
      <c r="O8" s="50">
        <f t="shared" si="2"/>
        <v>0</v>
      </c>
      <c r="P8" s="50">
        <f t="shared" si="2"/>
        <v>0</v>
      </c>
      <c r="Q8" s="400">
        <f t="shared" si="2"/>
        <v>0</v>
      </c>
      <c r="R8" s="50">
        <f t="shared" ref="R8:AF8" si="3">Q8*(1+$B8)</f>
        <v>0</v>
      </c>
      <c r="S8" s="50">
        <f t="shared" si="3"/>
        <v>0</v>
      </c>
      <c r="T8" s="50">
        <f t="shared" si="3"/>
        <v>0</v>
      </c>
      <c r="U8" s="50">
        <f t="shared" si="3"/>
        <v>0</v>
      </c>
      <c r="V8" s="50">
        <f t="shared" si="3"/>
        <v>0</v>
      </c>
      <c r="W8" s="50">
        <f t="shared" si="3"/>
        <v>0</v>
      </c>
      <c r="X8" s="50">
        <f t="shared" si="3"/>
        <v>0</v>
      </c>
      <c r="Y8" s="50">
        <f t="shared" si="3"/>
        <v>0</v>
      </c>
      <c r="Z8" s="50">
        <f t="shared" si="3"/>
        <v>0</v>
      </c>
      <c r="AA8" s="50">
        <f t="shared" si="3"/>
        <v>0</v>
      </c>
      <c r="AB8" s="50">
        <f t="shared" si="3"/>
        <v>0</v>
      </c>
      <c r="AC8" s="50">
        <f t="shared" si="3"/>
        <v>0</v>
      </c>
      <c r="AD8" s="50">
        <f t="shared" si="3"/>
        <v>0</v>
      </c>
      <c r="AE8" s="50">
        <f t="shared" si="3"/>
        <v>0</v>
      </c>
      <c r="AF8" s="50">
        <f t="shared" si="3"/>
        <v>0</v>
      </c>
    </row>
    <row r="9" spans="1:37">
      <c r="A9" s="45" t="s">
        <v>355</v>
      </c>
      <c r="B9" s="780">
        <v>0.02</v>
      </c>
      <c r="C9" s="50">
        <f>Mort!D15+Mort!D19</f>
        <v>0</v>
      </c>
      <c r="D9" s="50">
        <f t="shared" ref="D9:Q11" si="4">C9*(1+$B9)</f>
        <v>0</v>
      </c>
      <c r="E9" s="50">
        <f t="shared" si="4"/>
        <v>0</v>
      </c>
      <c r="F9" s="50">
        <f t="shared" si="4"/>
        <v>0</v>
      </c>
      <c r="G9" s="50">
        <f t="shared" si="4"/>
        <v>0</v>
      </c>
      <c r="H9" s="50">
        <f t="shared" si="4"/>
        <v>0</v>
      </c>
      <c r="I9" s="50">
        <f t="shared" si="4"/>
        <v>0</v>
      </c>
      <c r="J9" s="50">
        <f t="shared" si="4"/>
        <v>0</v>
      </c>
      <c r="K9" s="50">
        <f t="shared" si="4"/>
        <v>0</v>
      </c>
      <c r="L9" s="50">
        <f t="shared" si="4"/>
        <v>0</v>
      </c>
      <c r="M9" s="50">
        <f t="shared" si="4"/>
        <v>0</v>
      </c>
      <c r="N9" s="50">
        <f t="shared" si="4"/>
        <v>0</v>
      </c>
      <c r="O9" s="50">
        <f t="shared" si="4"/>
        <v>0</v>
      </c>
      <c r="P9" s="50">
        <f t="shared" si="4"/>
        <v>0</v>
      </c>
      <c r="Q9" s="400">
        <f t="shared" si="4"/>
        <v>0</v>
      </c>
      <c r="R9" s="50">
        <f t="shared" ref="R9:AF9" si="5">Q9*(1+$B9)</f>
        <v>0</v>
      </c>
      <c r="S9" s="50">
        <f t="shared" si="5"/>
        <v>0</v>
      </c>
      <c r="T9" s="50">
        <f t="shared" si="5"/>
        <v>0</v>
      </c>
      <c r="U9" s="50">
        <f t="shared" si="5"/>
        <v>0</v>
      </c>
      <c r="V9" s="50">
        <f t="shared" si="5"/>
        <v>0</v>
      </c>
      <c r="W9" s="50">
        <f t="shared" si="5"/>
        <v>0</v>
      </c>
      <c r="X9" s="50">
        <f t="shared" si="5"/>
        <v>0</v>
      </c>
      <c r="Y9" s="50">
        <f t="shared" si="5"/>
        <v>0</v>
      </c>
      <c r="Z9" s="50">
        <f t="shared" si="5"/>
        <v>0</v>
      </c>
      <c r="AA9" s="50">
        <f t="shared" si="5"/>
        <v>0</v>
      </c>
      <c r="AB9" s="50">
        <f t="shared" si="5"/>
        <v>0</v>
      </c>
      <c r="AC9" s="50">
        <f t="shared" si="5"/>
        <v>0</v>
      </c>
      <c r="AD9" s="50">
        <f t="shared" si="5"/>
        <v>0</v>
      </c>
      <c r="AE9" s="50">
        <f t="shared" si="5"/>
        <v>0</v>
      </c>
      <c r="AF9" s="50">
        <f t="shared" si="5"/>
        <v>0</v>
      </c>
      <c r="AG9" s="21"/>
      <c r="AH9" s="21"/>
      <c r="AI9" s="21"/>
      <c r="AJ9" s="21"/>
      <c r="AK9" s="21"/>
    </row>
    <row r="10" spans="1:37">
      <c r="A10" s="45" t="s">
        <v>313</v>
      </c>
      <c r="B10" s="780">
        <v>0.02</v>
      </c>
      <c r="C10" s="50">
        <f>Mort!D16+Mort!D20</f>
        <v>0</v>
      </c>
      <c r="D10" s="50">
        <f t="shared" si="4"/>
        <v>0</v>
      </c>
      <c r="E10" s="50">
        <f t="shared" si="4"/>
        <v>0</v>
      </c>
      <c r="F10" s="50">
        <f t="shared" si="4"/>
        <v>0</v>
      </c>
      <c r="G10" s="50">
        <f t="shared" si="4"/>
        <v>0</v>
      </c>
      <c r="H10" s="50">
        <f t="shared" si="4"/>
        <v>0</v>
      </c>
      <c r="I10" s="50">
        <f t="shared" si="4"/>
        <v>0</v>
      </c>
      <c r="J10" s="50">
        <f t="shared" si="4"/>
        <v>0</v>
      </c>
      <c r="K10" s="50">
        <f t="shared" si="4"/>
        <v>0</v>
      </c>
      <c r="L10" s="50">
        <f t="shared" si="4"/>
        <v>0</v>
      </c>
      <c r="M10" s="50">
        <f t="shared" si="4"/>
        <v>0</v>
      </c>
      <c r="N10" s="50">
        <f t="shared" si="4"/>
        <v>0</v>
      </c>
      <c r="O10" s="50">
        <f t="shared" si="4"/>
        <v>0</v>
      </c>
      <c r="P10" s="50">
        <f t="shared" si="4"/>
        <v>0</v>
      </c>
      <c r="Q10" s="400">
        <f t="shared" si="4"/>
        <v>0</v>
      </c>
      <c r="R10" s="50">
        <f t="shared" ref="R10:AF10" si="6">Q10*(1+$B10)</f>
        <v>0</v>
      </c>
      <c r="S10" s="50">
        <f t="shared" si="6"/>
        <v>0</v>
      </c>
      <c r="T10" s="50">
        <f t="shared" si="6"/>
        <v>0</v>
      </c>
      <c r="U10" s="50">
        <f t="shared" si="6"/>
        <v>0</v>
      </c>
      <c r="V10" s="50">
        <f t="shared" si="6"/>
        <v>0</v>
      </c>
      <c r="W10" s="50">
        <f t="shared" si="6"/>
        <v>0</v>
      </c>
      <c r="X10" s="50">
        <f t="shared" si="6"/>
        <v>0</v>
      </c>
      <c r="Y10" s="50">
        <f t="shared" si="6"/>
        <v>0</v>
      </c>
      <c r="Z10" s="50">
        <f t="shared" si="6"/>
        <v>0</v>
      </c>
      <c r="AA10" s="50">
        <f t="shared" si="6"/>
        <v>0</v>
      </c>
      <c r="AB10" s="50">
        <f t="shared" si="6"/>
        <v>0</v>
      </c>
      <c r="AC10" s="50">
        <f t="shared" si="6"/>
        <v>0</v>
      </c>
      <c r="AD10" s="50">
        <f t="shared" si="6"/>
        <v>0</v>
      </c>
      <c r="AE10" s="50">
        <f t="shared" si="6"/>
        <v>0</v>
      </c>
      <c r="AF10" s="50">
        <f t="shared" si="6"/>
        <v>0</v>
      </c>
      <c r="AG10" s="21"/>
      <c r="AH10" s="21"/>
      <c r="AI10" s="21"/>
      <c r="AJ10" s="21"/>
      <c r="AK10" s="21"/>
    </row>
    <row r="11" spans="1:37">
      <c r="A11" s="45" t="s">
        <v>356</v>
      </c>
      <c r="B11" s="780">
        <v>0.02</v>
      </c>
      <c r="C11" s="50">
        <f>Mort!D17+Mort!D21</f>
        <v>0</v>
      </c>
      <c r="D11" s="50">
        <f t="shared" si="4"/>
        <v>0</v>
      </c>
      <c r="E11" s="50">
        <f t="shared" si="4"/>
        <v>0</v>
      </c>
      <c r="F11" s="50">
        <f t="shared" si="4"/>
        <v>0</v>
      </c>
      <c r="G11" s="50">
        <f t="shared" si="4"/>
        <v>0</v>
      </c>
      <c r="H11" s="50">
        <f t="shared" si="4"/>
        <v>0</v>
      </c>
      <c r="I11" s="50">
        <f t="shared" si="4"/>
        <v>0</v>
      </c>
      <c r="J11" s="50">
        <f t="shared" si="4"/>
        <v>0</v>
      </c>
      <c r="K11" s="50">
        <f t="shared" si="4"/>
        <v>0</v>
      </c>
      <c r="L11" s="50">
        <f t="shared" si="4"/>
        <v>0</v>
      </c>
      <c r="M11" s="50">
        <f t="shared" si="4"/>
        <v>0</v>
      </c>
      <c r="N11" s="50">
        <f t="shared" si="4"/>
        <v>0</v>
      </c>
      <c r="O11" s="50">
        <f t="shared" si="4"/>
        <v>0</v>
      </c>
      <c r="P11" s="50">
        <f t="shared" si="4"/>
        <v>0</v>
      </c>
      <c r="Q11" s="400">
        <f t="shared" si="4"/>
        <v>0</v>
      </c>
      <c r="R11" s="50">
        <f t="shared" ref="R11:AF11" si="7">Q11*(1+$B11)</f>
        <v>0</v>
      </c>
      <c r="S11" s="50">
        <f t="shared" si="7"/>
        <v>0</v>
      </c>
      <c r="T11" s="50">
        <f t="shared" si="7"/>
        <v>0</v>
      </c>
      <c r="U11" s="50">
        <f t="shared" si="7"/>
        <v>0</v>
      </c>
      <c r="V11" s="50">
        <f t="shared" si="7"/>
        <v>0</v>
      </c>
      <c r="W11" s="50">
        <f t="shared" si="7"/>
        <v>0</v>
      </c>
      <c r="X11" s="50">
        <f t="shared" si="7"/>
        <v>0</v>
      </c>
      <c r="Y11" s="50">
        <f t="shared" si="7"/>
        <v>0</v>
      </c>
      <c r="Z11" s="50">
        <f t="shared" si="7"/>
        <v>0</v>
      </c>
      <c r="AA11" s="50">
        <f t="shared" si="7"/>
        <v>0</v>
      </c>
      <c r="AB11" s="50">
        <f t="shared" si="7"/>
        <v>0</v>
      </c>
      <c r="AC11" s="50">
        <f t="shared" si="7"/>
        <v>0</v>
      </c>
      <c r="AD11" s="50">
        <f t="shared" si="7"/>
        <v>0</v>
      </c>
      <c r="AE11" s="50">
        <f t="shared" si="7"/>
        <v>0</v>
      </c>
      <c r="AF11" s="50">
        <f t="shared" si="7"/>
        <v>0</v>
      </c>
      <c r="AG11" s="21"/>
      <c r="AH11" s="21"/>
      <c r="AI11" s="21"/>
      <c r="AJ11" s="21"/>
      <c r="AK11" s="21"/>
    </row>
    <row r="12" spans="1:37" s="18" customFormat="1" ht="15.75">
      <c r="A12" s="354" t="s">
        <v>357</v>
      </c>
      <c r="C12" s="38">
        <f t="shared" ref="C12:N12" si="8">SUM(C7:C11)</f>
        <v>0</v>
      </c>
      <c r="D12" s="38">
        <f t="shared" si="8"/>
        <v>0</v>
      </c>
      <c r="E12" s="38">
        <f t="shared" si="8"/>
        <v>0</v>
      </c>
      <c r="F12" s="38">
        <f t="shared" si="8"/>
        <v>0</v>
      </c>
      <c r="G12" s="38">
        <f t="shared" si="8"/>
        <v>0</v>
      </c>
      <c r="H12" s="38">
        <f t="shared" si="8"/>
        <v>0</v>
      </c>
      <c r="I12" s="38">
        <f t="shared" si="8"/>
        <v>0</v>
      </c>
      <c r="J12" s="38">
        <f t="shared" si="8"/>
        <v>0</v>
      </c>
      <c r="K12" s="38">
        <f t="shared" si="8"/>
        <v>0</v>
      </c>
      <c r="L12" s="38">
        <f t="shared" si="8"/>
        <v>0</v>
      </c>
      <c r="M12" s="38">
        <f t="shared" si="8"/>
        <v>0</v>
      </c>
      <c r="N12" s="38">
        <f t="shared" si="8"/>
        <v>0</v>
      </c>
      <c r="O12" s="38">
        <f>SUM(O7:O11)</f>
        <v>0</v>
      </c>
      <c r="P12" s="38">
        <f>SUM(P7:P11)</f>
        <v>0</v>
      </c>
      <c r="Q12" s="401">
        <f>SUM(Q7:Q11)</f>
        <v>0</v>
      </c>
      <c r="R12" s="38">
        <f t="shared" ref="R12:AF12" si="9">SUM(R7:R11)</f>
        <v>0</v>
      </c>
      <c r="S12" s="38">
        <f t="shared" si="9"/>
        <v>0</v>
      </c>
      <c r="T12" s="38">
        <f t="shared" si="9"/>
        <v>0</v>
      </c>
      <c r="U12" s="38">
        <f t="shared" si="9"/>
        <v>0</v>
      </c>
      <c r="V12" s="38">
        <f t="shared" si="9"/>
        <v>0</v>
      </c>
      <c r="W12" s="38">
        <f t="shared" si="9"/>
        <v>0</v>
      </c>
      <c r="X12" s="38">
        <f t="shared" si="9"/>
        <v>0</v>
      </c>
      <c r="Y12" s="38">
        <f t="shared" si="9"/>
        <v>0</v>
      </c>
      <c r="Z12" s="38">
        <f t="shared" si="9"/>
        <v>0</v>
      </c>
      <c r="AA12" s="38">
        <f t="shared" si="9"/>
        <v>0</v>
      </c>
      <c r="AB12" s="38">
        <f t="shared" si="9"/>
        <v>0</v>
      </c>
      <c r="AC12" s="38">
        <f t="shared" si="9"/>
        <v>0</v>
      </c>
      <c r="AD12" s="38">
        <f t="shared" si="9"/>
        <v>0</v>
      </c>
      <c r="AE12" s="38">
        <f t="shared" si="9"/>
        <v>0</v>
      </c>
      <c r="AF12" s="38">
        <f t="shared" si="9"/>
        <v>0</v>
      </c>
    </row>
    <row r="13" spans="1:37">
      <c r="A13" s="45"/>
      <c r="O13" s="50"/>
      <c r="P13" s="50"/>
      <c r="Q13" s="400"/>
      <c r="R13" s="50"/>
      <c r="S13" s="50"/>
      <c r="T13" s="50"/>
      <c r="U13" s="50"/>
      <c r="V13" s="50"/>
      <c r="W13" s="50"/>
      <c r="X13" s="50"/>
      <c r="Y13" s="50"/>
      <c r="Z13" s="50"/>
      <c r="AA13" s="50"/>
      <c r="AB13" s="50"/>
      <c r="AC13" s="50"/>
      <c r="AD13" s="50"/>
      <c r="AE13" s="50"/>
      <c r="AF13" s="50"/>
    </row>
    <row r="14" spans="1:37" ht="15.75">
      <c r="A14" s="39" t="s">
        <v>358</v>
      </c>
      <c r="O14" s="50"/>
      <c r="P14" s="50"/>
      <c r="Q14" s="400"/>
      <c r="R14" s="50"/>
      <c r="S14" s="50"/>
      <c r="T14" s="50"/>
      <c r="U14" s="50"/>
      <c r="V14" s="50"/>
      <c r="W14" s="50"/>
      <c r="X14" s="50"/>
      <c r="Y14" s="50"/>
      <c r="Z14" s="50"/>
      <c r="AA14" s="50"/>
      <c r="AB14" s="50"/>
      <c r="AC14" s="50"/>
      <c r="AD14" s="50"/>
      <c r="AE14" s="50"/>
      <c r="AF14" s="50"/>
    </row>
    <row r="15" spans="1:37">
      <c r="A15" s="45" t="s">
        <v>359</v>
      </c>
      <c r="B15" s="780">
        <v>0.03</v>
      </c>
      <c r="C15" s="50" t="e">
        <f ca="1">Mort!D26+Mort!D27-'M and O'!C13-'M and O'!D37</f>
        <v>#DIV/0!</v>
      </c>
      <c r="D15" s="50" t="e">
        <f t="shared" ref="D15:Q18" ca="1" si="10">C15*(1+$B15)</f>
        <v>#DIV/0!</v>
      </c>
      <c r="E15" s="50" t="e">
        <f t="shared" ca="1" si="10"/>
        <v>#DIV/0!</v>
      </c>
      <c r="F15" s="50" t="e">
        <f t="shared" ca="1" si="10"/>
        <v>#DIV/0!</v>
      </c>
      <c r="G15" s="50" t="e">
        <f t="shared" ca="1" si="10"/>
        <v>#DIV/0!</v>
      </c>
      <c r="H15" s="50" t="e">
        <f t="shared" ca="1" si="10"/>
        <v>#DIV/0!</v>
      </c>
      <c r="I15" s="50" t="e">
        <f t="shared" ca="1" si="10"/>
        <v>#DIV/0!</v>
      </c>
      <c r="J15" s="50" t="e">
        <f t="shared" ca="1" si="10"/>
        <v>#DIV/0!</v>
      </c>
      <c r="K15" s="50" t="e">
        <f t="shared" ca="1" si="10"/>
        <v>#DIV/0!</v>
      </c>
      <c r="L15" s="50" t="e">
        <f t="shared" ca="1" si="10"/>
        <v>#DIV/0!</v>
      </c>
      <c r="M15" s="50" t="e">
        <f t="shared" ca="1" si="10"/>
        <v>#DIV/0!</v>
      </c>
      <c r="N15" s="50" t="e">
        <f t="shared" ca="1" si="10"/>
        <v>#DIV/0!</v>
      </c>
      <c r="O15" s="50" t="e">
        <f t="shared" ca="1" si="10"/>
        <v>#DIV/0!</v>
      </c>
      <c r="P15" s="50" t="e">
        <f t="shared" ca="1" si="10"/>
        <v>#DIV/0!</v>
      </c>
      <c r="Q15" s="400" t="e">
        <f t="shared" ca="1" si="10"/>
        <v>#DIV/0!</v>
      </c>
      <c r="R15" s="50" t="e">
        <f t="shared" ref="R15:AF16" ca="1" si="11">Q15*(1+$B15)</f>
        <v>#DIV/0!</v>
      </c>
      <c r="S15" s="50" t="e">
        <f t="shared" ca="1" si="11"/>
        <v>#DIV/0!</v>
      </c>
      <c r="T15" s="50" t="e">
        <f t="shared" ca="1" si="11"/>
        <v>#DIV/0!</v>
      </c>
      <c r="U15" s="50" t="e">
        <f t="shared" ca="1" si="11"/>
        <v>#DIV/0!</v>
      </c>
      <c r="V15" s="50" t="e">
        <f t="shared" ca="1" si="11"/>
        <v>#DIV/0!</v>
      </c>
      <c r="W15" s="50" t="e">
        <f t="shared" ca="1" si="11"/>
        <v>#DIV/0!</v>
      </c>
      <c r="X15" s="50" t="e">
        <f t="shared" ca="1" si="11"/>
        <v>#DIV/0!</v>
      </c>
      <c r="Y15" s="50" t="e">
        <f t="shared" ca="1" si="11"/>
        <v>#DIV/0!</v>
      </c>
      <c r="Z15" s="50" t="e">
        <f t="shared" ca="1" si="11"/>
        <v>#DIV/0!</v>
      </c>
      <c r="AA15" s="50" t="e">
        <f t="shared" ca="1" si="11"/>
        <v>#DIV/0!</v>
      </c>
      <c r="AB15" s="50" t="e">
        <f t="shared" ca="1" si="11"/>
        <v>#DIV/0!</v>
      </c>
      <c r="AC15" s="50" t="e">
        <f t="shared" ca="1" si="11"/>
        <v>#DIV/0!</v>
      </c>
      <c r="AD15" s="50" t="e">
        <f t="shared" ca="1" si="11"/>
        <v>#DIV/0!</v>
      </c>
      <c r="AE15" s="50" t="e">
        <f t="shared" ca="1" si="11"/>
        <v>#DIV/0!</v>
      </c>
      <c r="AF15" s="50" t="e">
        <f t="shared" ca="1" si="11"/>
        <v>#DIV/0!</v>
      </c>
    </row>
    <row r="16" spans="1:37">
      <c r="A16" s="45" t="s">
        <v>241</v>
      </c>
      <c r="B16" s="780">
        <v>0.02</v>
      </c>
      <c r="C16" s="50">
        <f>'M and O'!C13</f>
        <v>0</v>
      </c>
      <c r="D16" s="50">
        <f t="shared" si="10"/>
        <v>0</v>
      </c>
      <c r="E16" s="50">
        <f t="shared" ref="E16" si="12">D16*(1+$B16)</f>
        <v>0</v>
      </c>
      <c r="F16" s="50">
        <f t="shared" ref="F16" si="13">E16*(1+$B16)</f>
        <v>0</v>
      </c>
      <c r="G16" s="50">
        <f t="shared" ref="G16" si="14">F16*(1+$B16)</f>
        <v>0</v>
      </c>
      <c r="H16" s="50">
        <f t="shared" ref="H16" si="15">G16*(1+$B16)</f>
        <v>0</v>
      </c>
      <c r="I16" s="50">
        <f t="shared" ref="I16" si="16">H16*(1+$B16)</f>
        <v>0</v>
      </c>
      <c r="J16" s="50">
        <f t="shared" ref="J16" si="17">I16*(1+$B16)</f>
        <v>0</v>
      </c>
      <c r="K16" s="50">
        <f t="shared" ref="K16" si="18">J16*(1+$B16)</f>
        <v>0</v>
      </c>
      <c r="L16" s="50">
        <f t="shared" ref="L16" si="19">K16*(1+$B16)</f>
        <v>0</v>
      </c>
      <c r="M16" s="50">
        <f t="shared" ref="M16" si="20">L16*(1+$B16)</f>
        <v>0</v>
      </c>
      <c r="N16" s="50">
        <f t="shared" ref="N16" si="21">M16*(1+$B16)</f>
        <v>0</v>
      </c>
      <c r="O16" s="50">
        <f t="shared" ref="O16" si="22">N16*(1+$B16)</f>
        <v>0</v>
      </c>
      <c r="P16" s="50">
        <f t="shared" ref="P16" si="23">O16*(1+$B16)</f>
        <v>0</v>
      </c>
      <c r="Q16" s="400">
        <f t="shared" ref="Q16" si="24">P16*(1+$B16)</f>
        <v>0</v>
      </c>
      <c r="R16" s="50">
        <f t="shared" si="11"/>
        <v>0</v>
      </c>
      <c r="S16" s="50">
        <f t="shared" si="11"/>
        <v>0</v>
      </c>
      <c r="T16" s="50">
        <f t="shared" si="11"/>
        <v>0</v>
      </c>
      <c r="U16" s="50">
        <f t="shared" si="11"/>
        <v>0</v>
      </c>
      <c r="V16" s="50">
        <f t="shared" si="11"/>
        <v>0</v>
      </c>
      <c r="W16" s="50">
        <f t="shared" si="11"/>
        <v>0</v>
      </c>
      <c r="X16" s="50">
        <f t="shared" si="11"/>
        <v>0</v>
      </c>
      <c r="Y16" s="50">
        <f t="shared" si="11"/>
        <v>0</v>
      </c>
      <c r="Z16" s="50">
        <f t="shared" si="11"/>
        <v>0</v>
      </c>
      <c r="AA16" s="50">
        <f t="shared" si="11"/>
        <v>0</v>
      </c>
      <c r="AB16" s="50">
        <f t="shared" si="11"/>
        <v>0</v>
      </c>
      <c r="AC16" s="50">
        <f t="shared" si="11"/>
        <v>0</v>
      </c>
      <c r="AD16" s="50">
        <f t="shared" si="11"/>
        <v>0</v>
      </c>
      <c r="AE16" s="50">
        <f t="shared" si="11"/>
        <v>0</v>
      </c>
      <c r="AF16" s="50">
        <f t="shared" si="11"/>
        <v>0</v>
      </c>
    </row>
    <row r="17" spans="1:32">
      <c r="A17" s="45" t="s">
        <v>329</v>
      </c>
      <c r="B17" s="780">
        <v>0.03</v>
      </c>
      <c r="C17" s="50">
        <f>Mort!D28</f>
        <v>0</v>
      </c>
      <c r="D17" s="50">
        <f t="shared" si="10"/>
        <v>0</v>
      </c>
      <c r="E17" s="50">
        <f t="shared" si="10"/>
        <v>0</v>
      </c>
      <c r="F17" s="50">
        <f t="shared" si="10"/>
        <v>0</v>
      </c>
      <c r="G17" s="50">
        <f t="shared" si="10"/>
        <v>0</v>
      </c>
      <c r="H17" s="50">
        <f t="shared" si="10"/>
        <v>0</v>
      </c>
      <c r="I17" s="50">
        <f t="shared" si="10"/>
        <v>0</v>
      </c>
      <c r="J17" s="50">
        <f t="shared" si="10"/>
        <v>0</v>
      </c>
      <c r="K17" s="50">
        <f t="shared" si="10"/>
        <v>0</v>
      </c>
      <c r="L17" s="50">
        <f t="shared" si="10"/>
        <v>0</v>
      </c>
      <c r="M17" s="50">
        <f t="shared" si="10"/>
        <v>0</v>
      </c>
      <c r="N17" s="50">
        <f t="shared" si="10"/>
        <v>0</v>
      </c>
      <c r="O17" s="50">
        <f t="shared" si="10"/>
        <v>0</v>
      </c>
      <c r="P17" s="50">
        <f t="shared" si="10"/>
        <v>0</v>
      </c>
      <c r="Q17" s="400">
        <f t="shared" si="10"/>
        <v>0</v>
      </c>
      <c r="R17" s="50">
        <f t="shared" ref="R17:AF18" si="25">Q17*(1+$B17)</f>
        <v>0</v>
      </c>
      <c r="S17" s="50">
        <f t="shared" si="25"/>
        <v>0</v>
      </c>
      <c r="T17" s="50">
        <f t="shared" si="25"/>
        <v>0</v>
      </c>
      <c r="U17" s="50">
        <f t="shared" si="25"/>
        <v>0</v>
      </c>
      <c r="V17" s="50">
        <f t="shared" si="25"/>
        <v>0</v>
      </c>
      <c r="W17" s="50">
        <f t="shared" si="25"/>
        <v>0</v>
      </c>
      <c r="X17" s="50">
        <f t="shared" si="25"/>
        <v>0</v>
      </c>
      <c r="Y17" s="50">
        <f t="shared" si="25"/>
        <v>0</v>
      </c>
      <c r="Z17" s="50">
        <f t="shared" si="25"/>
        <v>0</v>
      </c>
      <c r="AA17" s="50">
        <f t="shared" si="25"/>
        <v>0</v>
      </c>
      <c r="AB17" s="50">
        <f t="shared" si="25"/>
        <v>0</v>
      </c>
      <c r="AC17" s="50">
        <f t="shared" si="25"/>
        <v>0</v>
      </c>
      <c r="AD17" s="50">
        <f t="shared" si="25"/>
        <v>0</v>
      </c>
      <c r="AE17" s="50">
        <f t="shared" si="25"/>
        <v>0</v>
      </c>
      <c r="AF17" s="50">
        <f t="shared" si="25"/>
        <v>0</v>
      </c>
    </row>
    <row r="18" spans="1:32">
      <c r="A18" s="354" t="s">
        <v>286</v>
      </c>
      <c r="B18" s="780">
        <v>0</v>
      </c>
      <c r="C18" s="50" t="e">
        <f ca="1">'M and O'!C37</f>
        <v>#DIV/0!</v>
      </c>
      <c r="D18" s="50" t="e">
        <f t="shared" ca="1" si="10"/>
        <v>#DIV/0!</v>
      </c>
      <c r="E18" s="50" t="e">
        <f t="shared" ref="E18" ca="1" si="26">D18*(1+$B18)</f>
        <v>#DIV/0!</v>
      </c>
      <c r="F18" s="50" t="e">
        <f t="shared" ref="F18" ca="1" si="27">E18*(1+$B18)</f>
        <v>#DIV/0!</v>
      </c>
      <c r="G18" s="50" t="e">
        <f t="shared" ref="G18" ca="1" si="28">F18*(1+$B18)</f>
        <v>#DIV/0!</v>
      </c>
      <c r="H18" s="50" t="e">
        <f t="shared" ref="H18" ca="1" si="29">G18*(1+$B18)</f>
        <v>#DIV/0!</v>
      </c>
      <c r="I18" s="50" t="e">
        <f t="shared" ref="I18" ca="1" si="30">H18*(1+$B18)</f>
        <v>#DIV/0!</v>
      </c>
      <c r="J18" s="50" t="e">
        <f t="shared" ref="J18" ca="1" si="31">I18*(1+$B18)</f>
        <v>#DIV/0!</v>
      </c>
      <c r="K18" s="50" t="e">
        <f t="shared" ref="K18" ca="1" si="32">J18*(1+$B18)</f>
        <v>#DIV/0!</v>
      </c>
      <c r="L18" s="50" t="e">
        <f t="shared" ref="L18" ca="1" si="33">K18*(1+$B18)</f>
        <v>#DIV/0!</v>
      </c>
      <c r="M18" s="50" t="e">
        <f t="shared" ref="M18" ca="1" si="34">L18*(1+$B18)</f>
        <v>#DIV/0!</v>
      </c>
      <c r="N18" s="50" t="e">
        <f t="shared" ref="N18" ca="1" si="35">M18*(1+$B18)</f>
        <v>#DIV/0!</v>
      </c>
      <c r="O18" s="50" t="e">
        <f t="shared" ref="O18" ca="1" si="36">N18*(1+$B18)</f>
        <v>#DIV/0!</v>
      </c>
      <c r="P18" s="50" t="e">
        <f t="shared" ref="P18" ca="1" si="37">O18*(1+$B18)</f>
        <v>#DIV/0!</v>
      </c>
      <c r="Q18" s="400" t="e">
        <f t="shared" ref="Q18" ca="1" si="38">P18*(1+$B18)</f>
        <v>#DIV/0!</v>
      </c>
      <c r="R18" s="50" t="e">
        <f t="shared" ca="1" si="25"/>
        <v>#DIV/0!</v>
      </c>
      <c r="S18" s="50" t="e">
        <f t="shared" ca="1" si="25"/>
        <v>#DIV/0!</v>
      </c>
      <c r="T18" s="50" t="e">
        <f t="shared" ca="1" si="25"/>
        <v>#DIV/0!</v>
      </c>
      <c r="U18" s="50" t="e">
        <f t="shared" ca="1" si="25"/>
        <v>#DIV/0!</v>
      </c>
      <c r="V18" s="50" t="e">
        <f t="shared" ca="1" si="25"/>
        <v>#DIV/0!</v>
      </c>
      <c r="W18" s="50" t="e">
        <f t="shared" ca="1" si="25"/>
        <v>#DIV/0!</v>
      </c>
      <c r="X18" s="50" t="e">
        <f t="shared" ca="1" si="25"/>
        <v>#DIV/0!</v>
      </c>
      <c r="Y18" s="50" t="e">
        <f t="shared" ca="1" si="25"/>
        <v>#DIV/0!</v>
      </c>
      <c r="Z18" s="50" t="e">
        <f t="shared" ca="1" si="25"/>
        <v>#DIV/0!</v>
      </c>
      <c r="AA18" s="50" t="e">
        <f t="shared" ca="1" si="25"/>
        <v>#DIV/0!</v>
      </c>
      <c r="AB18" s="50" t="e">
        <f t="shared" ca="1" si="25"/>
        <v>#DIV/0!</v>
      </c>
      <c r="AC18" s="50" t="e">
        <f t="shared" ca="1" si="25"/>
        <v>#DIV/0!</v>
      </c>
      <c r="AD18" s="50" t="e">
        <f t="shared" ca="1" si="25"/>
        <v>#DIV/0!</v>
      </c>
      <c r="AE18" s="50" t="e">
        <f t="shared" ca="1" si="25"/>
        <v>#DIV/0!</v>
      </c>
      <c r="AF18" s="50" t="e">
        <f t="shared" ca="1" si="25"/>
        <v>#DIV/0!</v>
      </c>
    </row>
    <row r="19" spans="1:32" s="18" customFormat="1" ht="15.75">
      <c r="A19" s="354" t="s">
        <v>334</v>
      </c>
      <c r="C19" s="38" t="e">
        <f ca="1">SUM(C15:C18)</f>
        <v>#DIV/0!</v>
      </c>
      <c r="D19" s="38" t="e">
        <f t="shared" ref="D19:AF19" ca="1" si="39">SUM(D15:D18)</f>
        <v>#DIV/0!</v>
      </c>
      <c r="E19" s="38" t="e">
        <f t="shared" ca="1" si="39"/>
        <v>#DIV/0!</v>
      </c>
      <c r="F19" s="38" t="e">
        <f t="shared" ca="1" si="39"/>
        <v>#DIV/0!</v>
      </c>
      <c r="G19" s="38" t="e">
        <f t="shared" ca="1" si="39"/>
        <v>#DIV/0!</v>
      </c>
      <c r="H19" s="38" t="e">
        <f t="shared" ca="1" si="39"/>
        <v>#DIV/0!</v>
      </c>
      <c r="I19" s="38" t="e">
        <f t="shared" ca="1" si="39"/>
        <v>#DIV/0!</v>
      </c>
      <c r="J19" s="38" t="e">
        <f t="shared" ca="1" si="39"/>
        <v>#DIV/0!</v>
      </c>
      <c r="K19" s="38" t="e">
        <f t="shared" ca="1" si="39"/>
        <v>#DIV/0!</v>
      </c>
      <c r="L19" s="38" t="e">
        <f t="shared" ca="1" si="39"/>
        <v>#DIV/0!</v>
      </c>
      <c r="M19" s="38" t="e">
        <f t="shared" ca="1" si="39"/>
        <v>#DIV/0!</v>
      </c>
      <c r="N19" s="38" t="e">
        <f t="shared" ca="1" si="39"/>
        <v>#DIV/0!</v>
      </c>
      <c r="O19" s="38" t="e">
        <f t="shared" ca="1" si="39"/>
        <v>#DIV/0!</v>
      </c>
      <c r="P19" s="38" t="e">
        <f t="shared" ca="1" si="39"/>
        <v>#DIV/0!</v>
      </c>
      <c r="Q19" s="401" t="e">
        <f t="shared" ca="1" si="39"/>
        <v>#DIV/0!</v>
      </c>
      <c r="R19" s="38" t="e">
        <f t="shared" ca="1" si="39"/>
        <v>#DIV/0!</v>
      </c>
      <c r="S19" s="38" t="e">
        <f t="shared" ca="1" si="39"/>
        <v>#DIV/0!</v>
      </c>
      <c r="T19" s="38" t="e">
        <f t="shared" ca="1" si="39"/>
        <v>#DIV/0!</v>
      </c>
      <c r="U19" s="38" t="e">
        <f t="shared" ca="1" si="39"/>
        <v>#DIV/0!</v>
      </c>
      <c r="V19" s="38" t="e">
        <f t="shared" ca="1" si="39"/>
        <v>#DIV/0!</v>
      </c>
      <c r="W19" s="38" t="e">
        <f t="shared" ca="1" si="39"/>
        <v>#DIV/0!</v>
      </c>
      <c r="X19" s="38" t="e">
        <f t="shared" ca="1" si="39"/>
        <v>#DIV/0!</v>
      </c>
      <c r="Y19" s="38" t="e">
        <f t="shared" ca="1" si="39"/>
        <v>#DIV/0!</v>
      </c>
      <c r="Z19" s="38" t="e">
        <f t="shared" ca="1" si="39"/>
        <v>#DIV/0!</v>
      </c>
      <c r="AA19" s="38" t="e">
        <f t="shared" ca="1" si="39"/>
        <v>#DIV/0!</v>
      </c>
      <c r="AB19" s="38" t="e">
        <f t="shared" ca="1" si="39"/>
        <v>#DIV/0!</v>
      </c>
      <c r="AC19" s="38" t="e">
        <f t="shared" ca="1" si="39"/>
        <v>#DIV/0!</v>
      </c>
      <c r="AD19" s="38" t="e">
        <f t="shared" ca="1" si="39"/>
        <v>#DIV/0!</v>
      </c>
      <c r="AE19" s="38" t="e">
        <f t="shared" ca="1" si="39"/>
        <v>#DIV/0!</v>
      </c>
      <c r="AF19" s="38" t="e">
        <f t="shared" ca="1" si="39"/>
        <v>#DIV/0!</v>
      </c>
    </row>
    <row r="20" spans="1:32">
      <c r="A20" s="45"/>
      <c r="O20" s="50"/>
      <c r="P20" s="50"/>
      <c r="Q20" s="400"/>
      <c r="R20" s="50"/>
      <c r="S20" s="50"/>
      <c r="T20" s="50"/>
      <c r="U20" s="50"/>
      <c r="V20" s="50"/>
      <c r="W20" s="50"/>
      <c r="X20" s="50"/>
      <c r="Y20" s="50"/>
      <c r="Z20" s="50"/>
      <c r="AA20" s="50"/>
      <c r="AB20" s="50"/>
      <c r="AC20" s="50"/>
      <c r="AD20" s="50"/>
      <c r="AE20" s="50"/>
      <c r="AF20" s="50"/>
    </row>
    <row r="21" spans="1:32" s="18" customFormat="1" ht="15.75">
      <c r="A21" s="39" t="s">
        <v>360</v>
      </c>
      <c r="C21" s="38" t="e">
        <f t="shared" ref="C21:N21" ca="1" si="40">C12-C19</f>
        <v>#DIV/0!</v>
      </c>
      <c r="D21" s="38" t="e">
        <f t="shared" ca="1" si="40"/>
        <v>#DIV/0!</v>
      </c>
      <c r="E21" s="38" t="e">
        <f t="shared" ca="1" si="40"/>
        <v>#DIV/0!</v>
      </c>
      <c r="F21" s="38" t="e">
        <f t="shared" ca="1" si="40"/>
        <v>#DIV/0!</v>
      </c>
      <c r="G21" s="38" t="e">
        <f t="shared" ca="1" si="40"/>
        <v>#DIV/0!</v>
      </c>
      <c r="H21" s="38" t="e">
        <f t="shared" ca="1" si="40"/>
        <v>#DIV/0!</v>
      </c>
      <c r="I21" s="38" t="e">
        <f t="shared" ca="1" si="40"/>
        <v>#DIV/0!</v>
      </c>
      <c r="J21" s="38" t="e">
        <f t="shared" ca="1" si="40"/>
        <v>#DIV/0!</v>
      </c>
      <c r="K21" s="38" t="e">
        <f t="shared" ca="1" si="40"/>
        <v>#DIV/0!</v>
      </c>
      <c r="L21" s="38" t="e">
        <f t="shared" ca="1" si="40"/>
        <v>#DIV/0!</v>
      </c>
      <c r="M21" s="38" t="e">
        <f t="shared" ca="1" si="40"/>
        <v>#DIV/0!</v>
      </c>
      <c r="N21" s="38" t="e">
        <f t="shared" ca="1" si="40"/>
        <v>#DIV/0!</v>
      </c>
      <c r="O21" s="38" t="e">
        <f ca="1">O12-O19</f>
        <v>#DIV/0!</v>
      </c>
      <c r="P21" s="38" t="e">
        <f ca="1">P12-P19</f>
        <v>#DIV/0!</v>
      </c>
      <c r="Q21" s="401" t="e">
        <f ca="1">Q12-Q19</f>
        <v>#DIV/0!</v>
      </c>
      <c r="R21" s="38" t="e">
        <f t="shared" ref="R21:AF21" ca="1" si="41">R12-R19</f>
        <v>#DIV/0!</v>
      </c>
      <c r="S21" s="38" t="e">
        <f t="shared" ca="1" si="41"/>
        <v>#DIV/0!</v>
      </c>
      <c r="T21" s="38" t="e">
        <f t="shared" ca="1" si="41"/>
        <v>#DIV/0!</v>
      </c>
      <c r="U21" s="38" t="e">
        <f t="shared" ca="1" si="41"/>
        <v>#DIV/0!</v>
      </c>
      <c r="V21" s="38" t="e">
        <f t="shared" ca="1" si="41"/>
        <v>#DIV/0!</v>
      </c>
      <c r="W21" s="38" t="e">
        <f t="shared" ca="1" si="41"/>
        <v>#DIV/0!</v>
      </c>
      <c r="X21" s="38" t="e">
        <f t="shared" ca="1" si="41"/>
        <v>#DIV/0!</v>
      </c>
      <c r="Y21" s="38" t="e">
        <f t="shared" ca="1" si="41"/>
        <v>#DIV/0!</v>
      </c>
      <c r="Z21" s="38" t="e">
        <f t="shared" ca="1" si="41"/>
        <v>#DIV/0!</v>
      </c>
      <c r="AA21" s="38" t="e">
        <f t="shared" ca="1" si="41"/>
        <v>#DIV/0!</v>
      </c>
      <c r="AB21" s="38" t="e">
        <f t="shared" ca="1" si="41"/>
        <v>#DIV/0!</v>
      </c>
      <c r="AC21" s="38" t="e">
        <f t="shared" ca="1" si="41"/>
        <v>#DIV/0!</v>
      </c>
      <c r="AD21" s="38" t="e">
        <f t="shared" ca="1" si="41"/>
        <v>#DIV/0!</v>
      </c>
      <c r="AE21" s="38" t="e">
        <f t="shared" ca="1" si="41"/>
        <v>#DIV/0!</v>
      </c>
      <c r="AF21" s="38" t="e">
        <f t="shared" ca="1" si="41"/>
        <v>#DIV/0!</v>
      </c>
    </row>
    <row r="22" spans="1:32" s="18" customFormat="1" ht="15.75">
      <c r="A22" s="39"/>
      <c r="C22" s="38"/>
      <c r="D22" s="38"/>
      <c r="E22" s="38"/>
      <c r="F22" s="38"/>
      <c r="G22" s="38"/>
      <c r="H22" s="38"/>
      <c r="I22" s="38"/>
      <c r="J22" s="38"/>
      <c r="K22" s="38"/>
      <c r="L22" s="38"/>
      <c r="M22" s="38"/>
      <c r="N22" s="38"/>
      <c r="O22" s="38"/>
      <c r="P22" s="38"/>
      <c r="Q22" s="401"/>
      <c r="R22" s="38"/>
      <c r="S22" s="38"/>
      <c r="T22" s="38"/>
      <c r="U22" s="38"/>
      <c r="V22" s="38"/>
      <c r="W22" s="38"/>
      <c r="X22" s="38"/>
      <c r="Y22" s="38"/>
      <c r="Z22" s="38"/>
      <c r="AA22" s="38"/>
      <c r="AB22" s="38"/>
      <c r="AC22" s="38"/>
      <c r="AD22" s="38"/>
      <c r="AE22" s="38"/>
      <c r="AF22" s="38"/>
    </row>
    <row r="23" spans="1:32" s="24" customFormat="1">
      <c r="A23" s="354" t="s">
        <v>347</v>
      </c>
      <c r="B23" s="49"/>
      <c r="C23" s="781" t="e">
        <f ca="1">Mort!L37</f>
        <v>#DIV/0!</v>
      </c>
      <c r="D23" s="781" t="e">
        <f t="shared" ref="D23:N23" ca="1" si="42">C23</f>
        <v>#DIV/0!</v>
      </c>
      <c r="E23" s="781" t="e">
        <f t="shared" ca="1" si="42"/>
        <v>#DIV/0!</v>
      </c>
      <c r="F23" s="781" t="e">
        <f t="shared" ca="1" si="42"/>
        <v>#DIV/0!</v>
      </c>
      <c r="G23" s="781" t="e">
        <f t="shared" ca="1" si="42"/>
        <v>#DIV/0!</v>
      </c>
      <c r="H23" s="781" t="e">
        <f t="shared" ca="1" si="42"/>
        <v>#DIV/0!</v>
      </c>
      <c r="I23" s="781" t="e">
        <f t="shared" ca="1" si="42"/>
        <v>#DIV/0!</v>
      </c>
      <c r="J23" s="781" t="e">
        <f t="shared" ca="1" si="42"/>
        <v>#DIV/0!</v>
      </c>
      <c r="K23" s="781" t="e">
        <f t="shared" ca="1" si="42"/>
        <v>#DIV/0!</v>
      </c>
      <c r="L23" s="781" t="e">
        <f t="shared" ca="1" si="42"/>
        <v>#DIV/0!</v>
      </c>
      <c r="M23" s="781" t="e">
        <f t="shared" ca="1" si="42"/>
        <v>#DIV/0!</v>
      </c>
      <c r="N23" s="781" t="e">
        <f t="shared" ca="1" si="42"/>
        <v>#DIV/0!</v>
      </c>
      <c r="O23" s="781" t="e">
        <f ca="1">N23</f>
        <v>#DIV/0!</v>
      </c>
      <c r="P23" s="781" t="e">
        <f ca="1">O23</f>
        <v>#DIV/0!</v>
      </c>
      <c r="Q23" s="782" t="e">
        <f ca="1">P23</f>
        <v>#DIV/0!</v>
      </c>
      <c r="R23" s="781" t="e">
        <f t="shared" ref="R23:AF23" ca="1" si="43">Q23</f>
        <v>#DIV/0!</v>
      </c>
      <c r="S23" s="781" t="e">
        <f t="shared" ca="1" si="43"/>
        <v>#DIV/0!</v>
      </c>
      <c r="T23" s="781" t="e">
        <f t="shared" ca="1" si="43"/>
        <v>#DIV/0!</v>
      </c>
      <c r="U23" s="781" t="e">
        <f t="shared" ca="1" si="43"/>
        <v>#DIV/0!</v>
      </c>
      <c r="V23" s="781" t="e">
        <f t="shared" ca="1" si="43"/>
        <v>#DIV/0!</v>
      </c>
      <c r="W23" s="781" t="e">
        <f t="shared" ca="1" si="43"/>
        <v>#DIV/0!</v>
      </c>
      <c r="X23" s="781" t="e">
        <f t="shared" ca="1" si="43"/>
        <v>#DIV/0!</v>
      </c>
      <c r="Y23" s="781" t="e">
        <f t="shared" ca="1" si="43"/>
        <v>#DIV/0!</v>
      </c>
      <c r="Z23" s="781" t="e">
        <f t="shared" ca="1" si="43"/>
        <v>#DIV/0!</v>
      </c>
      <c r="AA23" s="781" t="e">
        <f t="shared" ca="1" si="43"/>
        <v>#DIV/0!</v>
      </c>
      <c r="AB23" s="781" t="e">
        <f t="shared" ca="1" si="43"/>
        <v>#DIV/0!</v>
      </c>
      <c r="AC23" s="781" t="e">
        <f t="shared" ca="1" si="43"/>
        <v>#DIV/0!</v>
      </c>
      <c r="AD23" s="781" t="e">
        <f t="shared" ca="1" si="43"/>
        <v>#DIV/0!</v>
      </c>
      <c r="AE23" s="781" t="e">
        <f t="shared" ca="1" si="43"/>
        <v>#DIV/0!</v>
      </c>
      <c r="AF23" s="781" t="e">
        <f t="shared" ca="1" si="43"/>
        <v>#DIV/0!</v>
      </c>
    </row>
    <row r="24" spans="1:32" s="18" customFormat="1" ht="15.75">
      <c r="A24" s="39"/>
      <c r="C24" s="38"/>
      <c r="D24" s="38"/>
      <c r="E24" s="38"/>
      <c r="F24" s="38"/>
      <c r="G24" s="38"/>
      <c r="H24" s="38"/>
      <c r="I24" s="38"/>
      <c r="J24" s="38"/>
      <c r="K24" s="38"/>
      <c r="L24" s="38"/>
      <c r="M24" s="38"/>
      <c r="N24" s="38"/>
      <c r="O24" s="38"/>
      <c r="P24" s="38"/>
      <c r="Q24" s="401"/>
      <c r="R24" s="38"/>
      <c r="S24" s="38"/>
      <c r="T24" s="38"/>
      <c r="U24" s="38"/>
      <c r="V24" s="38"/>
      <c r="W24" s="38"/>
      <c r="X24" s="38"/>
      <c r="Y24" s="38"/>
      <c r="Z24" s="38"/>
      <c r="AA24" s="38"/>
      <c r="AB24" s="38"/>
      <c r="AC24" s="38"/>
      <c r="AD24" s="38"/>
      <c r="AE24" s="38"/>
      <c r="AF24" s="38"/>
    </row>
    <row r="25" spans="1:32" s="18" customFormat="1" ht="15.75">
      <c r="A25" s="39" t="s">
        <v>361</v>
      </c>
      <c r="C25" s="38" t="e">
        <f t="shared" ref="C25:N25" ca="1" si="44">C21-C23</f>
        <v>#DIV/0!</v>
      </c>
      <c r="D25" s="38" t="e">
        <f t="shared" ca="1" si="44"/>
        <v>#DIV/0!</v>
      </c>
      <c r="E25" s="38" t="e">
        <f t="shared" ca="1" si="44"/>
        <v>#DIV/0!</v>
      </c>
      <c r="F25" s="38" t="e">
        <f t="shared" ca="1" si="44"/>
        <v>#DIV/0!</v>
      </c>
      <c r="G25" s="38" t="e">
        <f t="shared" ca="1" si="44"/>
        <v>#DIV/0!</v>
      </c>
      <c r="H25" s="38" t="e">
        <f t="shared" ca="1" si="44"/>
        <v>#DIV/0!</v>
      </c>
      <c r="I25" s="38" t="e">
        <f t="shared" ca="1" si="44"/>
        <v>#DIV/0!</v>
      </c>
      <c r="J25" s="38" t="e">
        <f t="shared" ca="1" si="44"/>
        <v>#DIV/0!</v>
      </c>
      <c r="K25" s="38" t="e">
        <f t="shared" ca="1" si="44"/>
        <v>#DIV/0!</v>
      </c>
      <c r="L25" s="38" t="e">
        <f t="shared" ca="1" si="44"/>
        <v>#DIV/0!</v>
      </c>
      <c r="M25" s="38" t="e">
        <f t="shared" ca="1" si="44"/>
        <v>#DIV/0!</v>
      </c>
      <c r="N25" s="38" t="e">
        <f t="shared" ca="1" si="44"/>
        <v>#DIV/0!</v>
      </c>
      <c r="O25" s="38" t="e">
        <f ca="1">O21-O23</f>
        <v>#DIV/0!</v>
      </c>
      <c r="P25" s="38" t="e">
        <f ca="1">P21-P23</f>
        <v>#DIV/0!</v>
      </c>
      <c r="Q25" s="401" t="e">
        <f ca="1">Q21-Q23</f>
        <v>#DIV/0!</v>
      </c>
      <c r="R25" s="38" t="e">
        <f t="shared" ref="R25:AF25" ca="1" si="45">R21-R23</f>
        <v>#DIV/0!</v>
      </c>
      <c r="S25" s="38" t="e">
        <f t="shared" ca="1" si="45"/>
        <v>#DIV/0!</v>
      </c>
      <c r="T25" s="38" t="e">
        <f t="shared" ca="1" si="45"/>
        <v>#DIV/0!</v>
      </c>
      <c r="U25" s="38" t="e">
        <f t="shared" ca="1" si="45"/>
        <v>#DIV/0!</v>
      </c>
      <c r="V25" s="38" t="e">
        <f t="shared" ca="1" si="45"/>
        <v>#DIV/0!</v>
      </c>
      <c r="W25" s="38" t="e">
        <f t="shared" ca="1" si="45"/>
        <v>#DIV/0!</v>
      </c>
      <c r="X25" s="38" t="e">
        <f t="shared" ca="1" si="45"/>
        <v>#DIV/0!</v>
      </c>
      <c r="Y25" s="38" t="e">
        <f t="shared" ca="1" si="45"/>
        <v>#DIV/0!</v>
      </c>
      <c r="Z25" s="38" t="e">
        <f t="shared" ca="1" si="45"/>
        <v>#DIV/0!</v>
      </c>
      <c r="AA25" s="38" t="e">
        <f t="shared" ca="1" si="45"/>
        <v>#DIV/0!</v>
      </c>
      <c r="AB25" s="38" t="e">
        <f t="shared" ca="1" si="45"/>
        <v>#DIV/0!</v>
      </c>
      <c r="AC25" s="38" t="e">
        <f t="shared" ca="1" si="45"/>
        <v>#DIV/0!</v>
      </c>
      <c r="AD25" s="38" t="e">
        <f t="shared" ca="1" si="45"/>
        <v>#DIV/0!</v>
      </c>
      <c r="AE25" s="38" t="e">
        <f t="shared" ca="1" si="45"/>
        <v>#DIV/0!</v>
      </c>
      <c r="AF25" s="38" t="e">
        <f t="shared" ca="1" si="45"/>
        <v>#DIV/0!</v>
      </c>
    </row>
    <row r="26" spans="1:32" s="18" customFormat="1" ht="15.75">
      <c r="A26" s="39" t="s">
        <v>362</v>
      </c>
      <c r="C26" s="407" t="e">
        <f ca="1">SUM(C25:Q25)</f>
        <v>#DIV/0!</v>
      </c>
      <c r="D26" s="38"/>
      <c r="E26" s="38"/>
      <c r="F26" s="38"/>
      <c r="G26" s="38"/>
      <c r="H26" s="38"/>
      <c r="I26" s="38"/>
      <c r="J26" s="38"/>
      <c r="K26" s="38"/>
      <c r="L26" s="38"/>
      <c r="M26" s="38"/>
      <c r="N26" s="38"/>
      <c r="O26" s="38"/>
      <c r="P26" s="38"/>
      <c r="Q26" s="401"/>
      <c r="R26" s="38"/>
      <c r="S26" s="38"/>
      <c r="T26" s="38"/>
      <c r="U26" s="38"/>
      <c r="V26" s="38"/>
      <c r="W26" s="38"/>
      <c r="X26" s="38"/>
      <c r="Y26" s="38"/>
      <c r="Z26" s="38"/>
      <c r="AA26" s="38"/>
      <c r="AB26" s="38"/>
      <c r="AC26" s="38"/>
      <c r="AD26" s="38"/>
      <c r="AE26" s="38"/>
      <c r="AF26" s="38"/>
    </row>
    <row r="27" spans="1:32" s="18" customFormat="1" ht="15.75">
      <c r="A27" s="39"/>
      <c r="C27" s="38"/>
      <c r="D27" s="38"/>
      <c r="E27" s="38"/>
      <c r="F27" s="38"/>
      <c r="G27" s="38"/>
      <c r="H27" s="38"/>
      <c r="I27" s="38"/>
      <c r="J27" s="38"/>
      <c r="K27" s="38"/>
      <c r="L27" s="38"/>
      <c r="M27" s="38"/>
      <c r="N27" s="38"/>
      <c r="O27" s="38"/>
      <c r="P27" s="38"/>
      <c r="Q27" s="401"/>
      <c r="R27" s="38"/>
      <c r="S27" s="38"/>
      <c r="T27" s="38"/>
      <c r="U27" s="38"/>
      <c r="V27" s="38"/>
      <c r="W27" s="38"/>
      <c r="X27" s="38"/>
      <c r="Y27" s="38"/>
      <c r="Z27" s="38"/>
      <c r="AA27" s="38"/>
      <c r="AB27" s="38"/>
      <c r="AC27" s="38"/>
      <c r="AD27" s="38"/>
      <c r="AE27" s="38"/>
      <c r="AF27" s="38"/>
    </row>
    <row r="28" spans="1:32" s="49" customFormat="1" ht="15.75">
      <c r="A28" s="354" t="s">
        <v>363</v>
      </c>
      <c r="B28" s="18"/>
      <c r="C28" s="783"/>
      <c r="D28" s="783"/>
      <c r="E28" s="783"/>
      <c r="F28" s="783"/>
      <c r="G28" s="783"/>
      <c r="H28" s="783"/>
      <c r="I28" s="783"/>
      <c r="J28" s="783"/>
      <c r="K28" s="783"/>
      <c r="L28" s="783"/>
      <c r="M28" s="783"/>
      <c r="N28" s="783"/>
      <c r="O28" s="783"/>
      <c r="P28" s="783"/>
      <c r="Q28" s="783"/>
      <c r="R28" s="783"/>
      <c r="S28" s="783"/>
      <c r="T28" s="783"/>
      <c r="U28" s="783"/>
      <c r="V28" s="783"/>
      <c r="W28" s="783"/>
      <c r="X28" s="783"/>
      <c r="Y28" s="783"/>
      <c r="Z28" s="783"/>
      <c r="AA28" s="783"/>
      <c r="AB28" s="783"/>
      <c r="AC28" s="783"/>
      <c r="AD28" s="783"/>
      <c r="AE28" s="783"/>
      <c r="AF28" s="783"/>
    </row>
    <row r="29" spans="1:32" s="49" customFormat="1" ht="15.75">
      <c r="A29" s="39" t="s">
        <v>364</v>
      </c>
      <c r="B29" s="18"/>
      <c r="C29" s="407">
        <f>SUM(C28:AF28)</f>
        <v>0</v>
      </c>
    </row>
    <row r="30" spans="1:32" s="18" customFormat="1" ht="15.75">
      <c r="A30" s="39" t="s">
        <v>365</v>
      </c>
      <c r="C30" s="38" t="e">
        <f t="shared" ref="C30:AF30" ca="1" si="46">C25-C28</f>
        <v>#DIV/0!</v>
      </c>
      <c r="D30" s="38" t="e">
        <f t="shared" ca="1" si="46"/>
        <v>#DIV/0!</v>
      </c>
      <c r="E30" s="38" t="e">
        <f t="shared" ca="1" si="46"/>
        <v>#DIV/0!</v>
      </c>
      <c r="F30" s="38" t="e">
        <f t="shared" ca="1" si="46"/>
        <v>#DIV/0!</v>
      </c>
      <c r="G30" s="38" t="e">
        <f t="shared" ca="1" si="46"/>
        <v>#DIV/0!</v>
      </c>
      <c r="H30" s="38" t="e">
        <f t="shared" ca="1" si="46"/>
        <v>#DIV/0!</v>
      </c>
      <c r="I30" s="38" t="e">
        <f t="shared" ca="1" si="46"/>
        <v>#DIV/0!</v>
      </c>
      <c r="J30" s="38" t="e">
        <f t="shared" ca="1" si="46"/>
        <v>#DIV/0!</v>
      </c>
      <c r="K30" s="38" t="e">
        <f t="shared" ca="1" si="46"/>
        <v>#DIV/0!</v>
      </c>
      <c r="L30" s="38" t="e">
        <f t="shared" ca="1" si="46"/>
        <v>#DIV/0!</v>
      </c>
      <c r="M30" s="38" t="e">
        <f t="shared" ca="1" si="46"/>
        <v>#DIV/0!</v>
      </c>
      <c r="N30" s="38" t="e">
        <f t="shared" ca="1" si="46"/>
        <v>#DIV/0!</v>
      </c>
      <c r="O30" s="38" t="e">
        <f t="shared" ca="1" si="46"/>
        <v>#DIV/0!</v>
      </c>
      <c r="P30" s="38" t="e">
        <f t="shared" ca="1" si="46"/>
        <v>#DIV/0!</v>
      </c>
      <c r="Q30" s="401" t="e">
        <f t="shared" ca="1" si="46"/>
        <v>#DIV/0!</v>
      </c>
      <c r="R30" s="38" t="e">
        <f t="shared" ca="1" si="46"/>
        <v>#DIV/0!</v>
      </c>
      <c r="S30" s="38" t="e">
        <f t="shared" ca="1" si="46"/>
        <v>#DIV/0!</v>
      </c>
      <c r="T30" s="38" t="e">
        <f t="shared" ca="1" si="46"/>
        <v>#DIV/0!</v>
      </c>
      <c r="U30" s="38" t="e">
        <f t="shared" ca="1" si="46"/>
        <v>#DIV/0!</v>
      </c>
      <c r="V30" s="38" t="e">
        <f t="shared" ca="1" si="46"/>
        <v>#DIV/0!</v>
      </c>
      <c r="W30" s="38" t="e">
        <f t="shared" ca="1" si="46"/>
        <v>#DIV/0!</v>
      </c>
      <c r="X30" s="38" t="e">
        <f t="shared" ca="1" si="46"/>
        <v>#DIV/0!</v>
      </c>
      <c r="Y30" s="38" t="e">
        <f t="shared" ca="1" si="46"/>
        <v>#DIV/0!</v>
      </c>
      <c r="Z30" s="38" t="e">
        <f t="shared" ca="1" si="46"/>
        <v>#DIV/0!</v>
      </c>
      <c r="AA30" s="38" t="e">
        <f t="shared" ca="1" si="46"/>
        <v>#DIV/0!</v>
      </c>
      <c r="AB30" s="38" t="e">
        <f t="shared" ca="1" si="46"/>
        <v>#DIV/0!</v>
      </c>
      <c r="AC30" s="38" t="e">
        <f t="shared" ca="1" si="46"/>
        <v>#DIV/0!</v>
      </c>
      <c r="AD30" s="38" t="e">
        <f t="shared" ca="1" si="46"/>
        <v>#DIV/0!</v>
      </c>
      <c r="AE30" s="38" t="e">
        <f t="shared" ca="1" si="46"/>
        <v>#DIV/0!</v>
      </c>
      <c r="AF30" s="38" t="e">
        <f t="shared" ca="1" si="46"/>
        <v>#DIV/0!</v>
      </c>
    </row>
    <row r="31" spans="1:32" s="18" customFormat="1" ht="15.75">
      <c r="A31" s="39"/>
      <c r="C31" s="38"/>
      <c r="D31" s="38"/>
      <c r="E31" s="38"/>
      <c r="F31" s="38"/>
      <c r="G31" s="38"/>
      <c r="H31" s="38"/>
      <c r="I31" s="38"/>
      <c r="J31" s="38"/>
      <c r="K31" s="38"/>
      <c r="L31" s="38"/>
      <c r="M31" s="38"/>
      <c r="N31" s="38"/>
      <c r="O31" s="38"/>
      <c r="P31" s="38"/>
      <c r="Q31" s="401"/>
      <c r="R31" s="38"/>
      <c r="S31" s="38"/>
      <c r="T31" s="38"/>
      <c r="U31" s="38"/>
      <c r="V31" s="38"/>
      <c r="W31" s="38"/>
      <c r="X31" s="38"/>
      <c r="Y31" s="38"/>
      <c r="Z31" s="38"/>
      <c r="AA31" s="38"/>
      <c r="AB31" s="38"/>
      <c r="AC31" s="38"/>
      <c r="AD31" s="38"/>
      <c r="AE31" s="38"/>
      <c r="AF31" s="38"/>
    </row>
    <row r="32" spans="1:32" s="49" customFormat="1">
      <c r="A32" s="403" t="s">
        <v>366</v>
      </c>
      <c r="B32" s="780">
        <v>0.5</v>
      </c>
      <c r="C32" s="404" t="str">
        <f ca="1">IFERROR(C30*$B$32,"-")</f>
        <v>-</v>
      </c>
      <c r="D32" s="404" t="str">
        <f t="shared" ref="D32:AF32" ca="1" si="47">IFERROR(D30*$B$32,"-")</f>
        <v>-</v>
      </c>
      <c r="E32" s="404" t="str">
        <f t="shared" ca="1" si="47"/>
        <v>-</v>
      </c>
      <c r="F32" s="404" t="str">
        <f t="shared" ca="1" si="47"/>
        <v>-</v>
      </c>
      <c r="G32" s="404" t="str">
        <f t="shared" ca="1" si="47"/>
        <v>-</v>
      </c>
      <c r="H32" s="404" t="str">
        <f t="shared" ca="1" si="47"/>
        <v>-</v>
      </c>
      <c r="I32" s="404" t="str">
        <f t="shared" ca="1" si="47"/>
        <v>-</v>
      </c>
      <c r="J32" s="404" t="str">
        <f t="shared" ca="1" si="47"/>
        <v>-</v>
      </c>
      <c r="K32" s="404" t="str">
        <f t="shared" ca="1" si="47"/>
        <v>-</v>
      </c>
      <c r="L32" s="404" t="str">
        <f t="shared" ca="1" si="47"/>
        <v>-</v>
      </c>
      <c r="M32" s="404" t="str">
        <f t="shared" ca="1" si="47"/>
        <v>-</v>
      </c>
      <c r="N32" s="404" t="str">
        <f t="shared" ca="1" si="47"/>
        <v>-</v>
      </c>
      <c r="O32" s="404" t="str">
        <f t="shared" ca="1" si="47"/>
        <v>-</v>
      </c>
      <c r="P32" s="404" t="str">
        <f t="shared" ca="1" si="47"/>
        <v>-</v>
      </c>
      <c r="Q32" s="405" t="str">
        <f t="shared" ca="1" si="47"/>
        <v>-</v>
      </c>
      <c r="R32" s="406" t="str">
        <f t="shared" ca="1" si="47"/>
        <v>-</v>
      </c>
      <c r="S32" s="404" t="str">
        <f t="shared" ca="1" si="47"/>
        <v>-</v>
      </c>
      <c r="T32" s="404" t="str">
        <f t="shared" ca="1" si="47"/>
        <v>-</v>
      </c>
      <c r="U32" s="404" t="str">
        <f t="shared" ca="1" si="47"/>
        <v>-</v>
      </c>
      <c r="V32" s="404" t="str">
        <f t="shared" ca="1" si="47"/>
        <v>-</v>
      </c>
      <c r="W32" s="404" t="str">
        <f t="shared" ca="1" si="47"/>
        <v>-</v>
      </c>
      <c r="X32" s="404" t="str">
        <f t="shared" ca="1" si="47"/>
        <v>-</v>
      </c>
      <c r="Y32" s="404" t="str">
        <f t="shared" ca="1" si="47"/>
        <v>-</v>
      </c>
      <c r="Z32" s="404" t="str">
        <f t="shared" ca="1" si="47"/>
        <v>-</v>
      </c>
      <c r="AA32" s="404" t="str">
        <f t="shared" ca="1" si="47"/>
        <v>-</v>
      </c>
      <c r="AB32" s="404" t="str">
        <f t="shared" ca="1" si="47"/>
        <v>-</v>
      </c>
      <c r="AC32" s="404" t="str">
        <f t="shared" ca="1" si="47"/>
        <v>-</v>
      </c>
      <c r="AD32" s="404" t="str">
        <f t="shared" ca="1" si="47"/>
        <v>-</v>
      </c>
      <c r="AE32" s="404" t="str">
        <f t="shared" ca="1" si="47"/>
        <v>-</v>
      </c>
      <c r="AF32" s="404" t="str">
        <f t="shared" ca="1" si="47"/>
        <v>-</v>
      </c>
    </row>
    <row r="33" spans="1:32" s="18" customFormat="1" ht="15.75">
      <c r="A33" s="402" t="s">
        <v>367</v>
      </c>
      <c r="C33" s="38" t="e">
        <f ca="1">C30-C32</f>
        <v>#DIV/0!</v>
      </c>
      <c r="D33" s="38" t="e">
        <f t="shared" ref="D33:AF33" ca="1" si="48">D30-D32</f>
        <v>#DIV/0!</v>
      </c>
      <c r="E33" s="38" t="e">
        <f t="shared" ca="1" si="48"/>
        <v>#DIV/0!</v>
      </c>
      <c r="F33" s="38" t="e">
        <f t="shared" ca="1" si="48"/>
        <v>#DIV/0!</v>
      </c>
      <c r="G33" s="38" t="e">
        <f t="shared" ca="1" si="48"/>
        <v>#DIV/0!</v>
      </c>
      <c r="H33" s="38" t="e">
        <f t="shared" ca="1" si="48"/>
        <v>#DIV/0!</v>
      </c>
      <c r="I33" s="38" t="e">
        <f t="shared" ca="1" si="48"/>
        <v>#DIV/0!</v>
      </c>
      <c r="J33" s="38" t="e">
        <f t="shared" ca="1" si="48"/>
        <v>#DIV/0!</v>
      </c>
      <c r="K33" s="38" t="e">
        <f t="shared" ca="1" si="48"/>
        <v>#DIV/0!</v>
      </c>
      <c r="L33" s="38" t="e">
        <f t="shared" ca="1" si="48"/>
        <v>#DIV/0!</v>
      </c>
      <c r="M33" s="38" t="e">
        <f t="shared" ca="1" si="48"/>
        <v>#DIV/0!</v>
      </c>
      <c r="N33" s="38" t="e">
        <f t="shared" ca="1" si="48"/>
        <v>#DIV/0!</v>
      </c>
      <c r="O33" s="38" t="e">
        <f t="shared" ca="1" si="48"/>
        <v>#DIV/0!</v>
      </c>
      <c r="P33" s="38" t="e">
        <f t="shared" ca="1" si="48"/>
        <v>#DIV/0!</v>
      </c>
      <c r="Q33" s="401" t="e">
        <f t="shared" ca="1" si="48"/>
        <v>#DIV/0!</v>
      </c>
      <c r="R33" s="412" t="e">
        <f t="shared" ca="1" si="48"/>
        <v>#DIV/0!</v>
      </c>
      <c r="S33" s="38" t="e">
        <f t="shared" ca="1" si="48"/>
        <v>#DIV/0!</v>
      </c>
      <c r="T33" s="38" t="e">
        <f t="shared" ca="1" si="48"/>
        <v>#DIV/0!</v>
      </c>
      <c r="U33" s="38" t="e">
        <f t="shared" ca="1" si="48"/>
        <v>#DIV/0!</v>
      </c>
      <c r="V33" s="38" t="e">
        <f t="shared" ca="1" si="48"/>
        <v>#DIV/0!</v>
      </c>
      <c r="W33" s="38" t="e">
        <f t="shared" ca="1" si="48"/>
        <v>#DIV/0!</v>
      </c>
      <c r="X33" s="38" t="e">
        <f t="shared" ca="1" si="48"/>
        <v>#DIV/0!</v>
      </c>
      <c r="Y33" s="38" t="e">
        <f t="shared" ca="1" si="48"/>
        <v>#DIV/0!</v>
      </c>
      <c r="Z33" s="38" t="e">
        <f t="shared" ca="1" si="48"/>
        <v>#DIV/0!</v>
      </c>
      <c r="AA33" s="38" t="e">
        <f t="shared" ca="1" si="48"/>
        <v>#DIV/0!</v>
      </c>
      <c r="AB33" s="38" t="e">
        <f t="shared" ca="1" si="48"/>
        <v>#DIV/0!</v>
      </c>
      <c r="AC33" s="38" t="e">
        <f t="shared" ca="1" si="48"/>
        <v>#DIV/0!</v>
      </c>
      <c r="AD33" s="38" t="e">
        <f t="shared" ca="1" si="48"/>
        <v>#DIV/0!</v>
      </c>
      <c r="AE33" s="38" t="e">
        <f t="shared" ca="1" si="48"/>
        <v>#DIV/0!</v>
      </c>
      <c r="AF33" s="38" t="e">
        <f t="shared" ca="1" si="48"/>
        <v>#DIV/0!</v>
      </c>
    </row>
    <row r="34" spans="1:32" s="18" customFormat="1" ht="15.75">
      <c r="A34" s="39"/>
      <c r="C34" s="38"/>
      <c r="D34" s="38"/>
      <c r="E34" s="38"/>
      <c r="F34" s="38"/>
      <c r="G34" s="38"/>
      <c r="H34" s="38"/>
      <c r="I34" s="38"/>
      <c r="J34" s="38"/>
      <c r="K34" s="38"/>
      <c r="L34" s="38"/>
      <c r="M34" s="38"/>
      <c r="N34" s="38"/>
      <c r="Q34" s="784"/>
    </row>
    <row r="35" spans="1:32" s="18" customFormat="1" ht="15.75">
      <c r="A35" s="39" t="s">
        <v>368</v>
      </c>
      <c r="C35" s="49" t="e">
        <f ca="1">C12/(C19+C23)</f>
        <v>#DIV/0!</v>
      </c>
      <c r="D35" s="49" t="e">
        <f t="shared" ref="D35:AF35" ca="1" si="49">D12/(D19+D23)</f>
        <v>#DIV/0!</v>
      </c>
      <c r="E35" s="49" t="e">
        <f t="shared" ca="1" si="49"/>
        <v>#DIV/0!</v>
      </c>
      <c r="F35" s="49" t="e">
        <f t="shared" ca="1" si="49"/>
        <v>#DIV/0!</v>
      </c>
      <c r="G35" s="49" t="e">
        <f t="shared" ca="1" si="49"/>
        <v>#DIV/0!</v>
      </c>
      <c r="H35" s="49" t="e">
        <f t="shared" ca="1" si="49"/>
        <v>#DIV/0!</v>
      </c>
      <c r="I35" s="49" t="e">
        <f t="shared" ca="1" si="49"/>
        <v>#DIV/0!</v>
      </c>
      <c r="J35" s="49" t="e">
        <f t="shared" ca="1" si="49"/>
        <v>#DIV/0!</v>
      </c>
      <c r="K35" s="49" t="e">
        <f t="shared" ca="1" si="49"/>
        <v>#DIV/0!</v>
      </c>
      <c r="L35" s="49" t="e">
        <f t="shared" ca="1" si="49"/>
        <v>#DIV/0!</v>
      </c>
      <c r="M35" s="49" t="e">
        <f t="shared" ca="1" si="49"/>
        <v>#DIV/0!</v>
      </c>
      <c r="N35" s="49" t="e">
        <f t="shared" ca="1" si="49"/>
        <v>#DIV/0!</v>
      </c>
      <c r="O35" s="49" t="e">
        <f t="shared" ca="1" si="49"/>
        <v>#DIV/0!</v>
      </c>
      <c r="P35" s="49" t="e">
        <f t="shared" ca="1" si="49"/>
        <v>#DIV/0!</v>
      </c>
      <c r="Q35" s="785" t="e">
        <f t="shared" ca="1" si="49"/>
        <v>#DIV/0!</v>
      </c>
      <c r="R35" s="49" t="e">
        <f t="shared" ca="1" si="49"/>
        <v>#DIV/0!</v>
      </c>
      <c r="S35" s="49" t="e">
        <f t="shared" ca="1" si="49"/>
        <v>#DIV/0!</v>
      </c>
      <c r="T35" s="49" t="e">
        <f t="shared" ca="1" si="49"/>
        <v>#DIV/0!</v>
      </c>
      <c r="U35" s="49" t="e">
        <f t="shared" ca="1" si="49"/>
        <v>#DIV/0!</v>
      </c>
      <c r="V35" s="49" t="e">
        <f t="shared" ca="1" si="49"/>
        <v>#DIV/0!</v>
      </c>
      <c r="W35" s="49" t="e">
        <f t="shared" ca="1" si="49"/>
        <v>#DIV/0!</v>
      </c>
      <c r="X35" s="49" t="e">
        <f t="shared" ca="1" si="49"/>
        <v>#DIV/0!</v>
      </c>
      <c r="Y35" s="49" t="e">
        <f t="shared" ca="1" si="49"/>
        <v>#DIV/0!</v>
      </c>
      <c r="Z35" s="49" t="e">
        <f t="shared" ca="1" si="49"/>
        <v>#DIV/0!</v>
      </c>
      <c r="AA35" s="49" t="e">
        <f t="shared" ca="1" si="49"/>
        <v>#DIV/0!</v>
      </c>
      <c r="AB35" s="49" t="e">
        <f t="shared" ca="1" si="49"/>
        <v>#DIV/0!</v>
      </c>
      <c r="AC35" s="49" t="e">
        <f t="shared" ca="1" si="49"/>
        <v>#DIV/0!</v>
      </c>
      <c r="AD35" s="49" t="e">
        <f t="shared" ca="1" si="49"/>
        <v>#DIV/0!</v>
      </c>
      <c r="AE35" s="49" t="e">
        <f t="shared" ca="1" si="49"/>
        <v>#DIV/0!</v>
      </c>
      <c r="AF35" s="49" t="e">
        <f t="shared" ca="1" si="49"/>
        <v>#DIV/0!</v>
      </c>
    </row>
    <row r="36" spans="1:32" s="18" customFormat="1" ht="15.75">
      <c r="A36" s="39" t="s">
        <v>369</v>
      </c>
      <c r="C36" s="49" t="e">
        <f ca="1">C21/C23</f>
        <v>#DIV/0!</v>
      </c>
      <c r="D36" s="49" t="e">
        <f t="shared" ref="D36:AF36" ca="1" si="50">D21/D23</f>
        <v>#DIV/0!</v>
      </c>
      <c r="E36" s="49" t="e">
        <f t="shared" ca="1" si="50"/>
        <v>#DIV/0!</v>
      </c>
      <c r="F36" s="49" t="e">
        <f t="shared" ca="1" si="50"/>
        <v>#DIV/0!</v>
      </c>
      <c r="G36" s="49" t="e">
        <f t="shared" ca="1" si="50"/>
        <v>#DIV/0!</v>
      </c>
      <c r="H36" s="49" t="e">
        <f t="shared" ca="1" si="50"/>
        <v>#DIV/0!</v>
      </c>
      <c r="I36" s="49" t="e">
        <f t="shared" ca="1" si="50"/>
        <v>#DIV/0!</v>
      </c>
      <c r="J36" s="49" t="e">
        <f t="shared" ca="1" si="50"/>
        <v>#DIV/0!</v>
      </c>
      <c r="K36" s="49" t="e">
        <f t="shared" ca="1" si="50"/>
        <v>#DIV/0!</v>
      </c>
      <c r="L36" s="49" t="e">
        <f t="shared" ca="1" si="50"/>
        <v>#DIV/0!</v>
      </c>
      <c r="M36" s="49" t="e">
        <f t="shared" ca="1" si="50"/>
        <v>#DIV/0!</v>
      </c>
      <c r="N36" s="49" t="e">
        <f t="shared" ca="1" si="50"/>
        <v>#DIV/0!</v>
      </c>
      <c r="O36" s="49" t="e">
        <f t="shared" ca="1" si="50"/>
        <v>#DIV/0!</v>
      </c>
      <c r="P36" s="49" t="e">
        <f t="shared" ca="1" si="50"/>
        <v>#DIV/0!</v>
      </c>
      <c r="Q36" s="785" t="e">
        <f t="shared" ca="1" si="50"/>
        <v>#DIV/0!</v>
      </c>
      <c r="R36" s="49" t="e">
        <f t="shared" ca="1" si="50"/>
        <v>#DIV/0!</v>
      </c>
      <c r="S36" s="49" t="e">
        <f t="shared" ca="1" si="50"/>
        <v>#DIV/0!</v>
      </c>
      <c r="T36" s="49" t="e">
        <f t="shared" ca="1" si="50"/>
        <v>#DIV/0!</v>
      </c>
      <c r="U36" s="49" t="e">
        <f t="shared" ca="1" si="50"/>
        <v>#DIV/0!</v>
      </c>
      <c r="V36" s="49" t="e">
        <f t="shared" ca="1" si="50"/>
        <v>#DIV/0!</v>
      </c>
      <c r="W36" s="49" t="e">
        <f t="shared" ca="1" si="50"/>
        <v>#DIV/0!</v>
      </c>
      <c r="X36" s="49" t="e">
        <f t="shared" ca="1" si="50"/>
        <v>#DIV/0!</v>
      </c>
      <c r="Y36" s="49" t="e">
        <f t="shared" ca="1" si="50"/>
        <v>#DIV/0!</v>
      </c>
      <c r="Z36" s="49" t="e">
        <f t="shared" ca="1" si="50"/>
        <v>#DIV/0!</v>
      </c>
      <c r="AA36" s="49" t="e">
        <f t="shared" ca="1" si="50"/>
        <v>#DIV/0!</v>
      </c>
      <c r="AB36" s="49" t="e">
        <f t="shared" ca="1" si="50"/>
        <v>#DIV/0!</v>
      </c>
      <c r="AC36" s="49" t="e">
        <f t="shared" ca="1" si="50"/>
        <v>#DIV/0!</v>
      </c>
      <c r="AD36" s="49" t="e">
        <f t="shared" ca="1" si="50"/>
        <v>#DIV/0!</v>
      </c>
      <c r="AE36" s="49" t="e">
        <f t="shared" ca="1" si="50"/>
        <v>#DIV/0!</v>
      </c>
      <c r="AF36" s="49" t="e">
        <f t="shared" ca="1" si="50"/>
        <v>#DIV/0!</v>
      </c>
    </row>
    <row r="38" spans="1:32">
      <c r="A38" s="10"/>
      <c r="B38" s="786"/>
      <c r="C38" s="12"/>
      <c r="D38" s="786"/>
    </row>
    <row r="40" spans="1:32">
      <c r="A40" s="23"/>
    </row>
    <row r="41" spans="1:32">
      <c r="A41" s="600"/>
    </row>
    <row r="42" spans="1:32">
      <c r="A42" s="600"/>
    </row>
  </sheetData>
  <customSheetViews>
    <customSheetView guid="{25C4E7E7-1006-4A2D-BC83-AEE4ADF8A914}" scale="75" showPageBreaks="1" fitToPage="1" showRuler="0" topLeftCell="A10">
      <selection activeCell="H29" sqref="H29"/>
      <pageMargins left="0" right="0" top="0" bottom="0" header="0" footer="0"/>
      <pageSetup scale="51" orientation="landscape" r:id="rId1"/>
      <headerFooter alignWithMargins="0"/>
    </customSheetView>
    <customSheetView guid="{28F81D13-D146-4D67-8981-BA5D7A496326}" showPageBreaks="1" fitToPage="1" showRuler="0" topLeftCell="K6">
      <selection activeCell="O6" sqref="O6"/>
      <pageMargins left="0" right="0" top="0" bottom="0" header="0" footer="0"/>
      <pageSetup scale="50" orientation="landscape" horizontalDpi="1200" verticalDpi="1200" r:id="rId2"/>
      <headerFooter alignWithMargins="0"/>
    </customSheetView>
    <customSheetView guid="{AEA5979F-5357-4ED6-A6CA-1BB80F5C7A74}" showPageBreaks="1" fitToPage="1" showRuler="0">
      <selection activeCell="A5" sqref="A5"/>
      <pageMargins left="0" right="0" top="0" bottom="0" header="0" footer="0"/>
      <pageSetup scale="61" orientation="landscape" horizontalDpi="1200" verticalDpi="1200" r:id="rId3"/>
      <headerFooter alignWithMargins="0"/>
    </customSheetView>
    <customSheetView guid="{EB776EFC-3589-4DB5-BEAF-1E83D9703F9E}" fitToPage="1" showRuler="0" topLeftCell="A14">
      <selection activeCell="B28" sqref="B28"/>
      <pageMargins left="0" right="0" top="0" bottom="0" header="0" footer="0"/>
      <pageSetup scale="64" orientation="landscape" horizontalDpi="1200" verticalDpi="1200" r:id="rId4"/>
      <headerFooter alignWithMargins="0"/>
    </customSheetView>
    <customSheetView guid="{FBB4BF8E-8A9F-4E98-A6F9-5F9BF4C55C67}" showPageBreaks="1" fitToPage="1" showRuler="0" topLeftCell="A11">
      <pageMargins left="0" right="0" top="0" bottom="0" header="0" footer="0"/>
      <pageSetup scale="61" orientation="landscape" horizontalDpi="1200" verticalDpi="1200" r:id="rId5"/>
      <headerFooter alignWithMargins="0"/>
    </customSheetView>
    <customSheetView guid="{6EF643BE-69F3-424E-8A44-3890161370D4}" fitToPage="1" showRuler="0" topLeftCell="J1">
      <selection activeCell="N4" sqref="N4"/>
      <pageMargins left="0" right="0" top="0" bottom="0" header="0" footer="0"/>
      <pageSetup scale="61" orientation="landscape" horizontalDpi="1200" verticalDpi="1200" r:id="rId6"/>
      <headerFooter alignWithMargins="0"/>
    </customSheetView>
    <customSheetView guid="{1ECE83C7-A3CE-4F97-BFD3-498FF783C0D9}" scale="75" showPageBreaks="1" fitToPage="1" showRuler="0">
      <selection activeCell="H29" sqref="H29"/>
      <pageMargins left="0" right="0" top="0" bottom="0" header="0" footer="0"/>
      <pageSetup scale="51" orientation="landscape" r:id="rId7"/>
      <headerFooter alignWithMargins="0"/>
    </customSheetView>
    <customSheetView guid="{560D4AFA-61E5-46C3-B0CD-D0EB3053A033}" scale="75" showPageBreaks="1" fitToPage="1" showRuler="0">
      <selection activeCell="C9" sqref="C9"/>
      <pageMargins left="0" right="0" top="0" bottom="0" header="0" footer="0"/>
      <pageSetup scale="51" orientation="landscape" r:id="rId8"/>
      <headerFooter alignWithMargins="0"/>
    </customSheetView>
  </customSheetViews>
  <phoneticPr fontId="0" type="noConversion"/>
  <pageMargins left="0.25" right="0.25" top="0.75" bottom="0.75" header="0.3" footer="0.3"/>
  <pageSetup scale="39" firstPageNumber="212" fitToWidth="2" orientation="landscape" useFirstPageNumber="1" r:id="rId9"/>
  <headerFooter alignWithMargins="0"/>
  <colBreaks count="1" manualBreakCount="1">
    <brk id="17" max="1048575" man="1"/>
  </colBreaks>
  <ignoredErrors>
    <ignoredError sqref="C23:Q23 C25:Q25" evalError="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78"/>
  <sheetViews>
    <sheetView workbookViewId="0"/>
  </sheetViews>
  <sheetFormatPr defaultRowHeight="15"/>
  <cols>
    <col min="1" max="1" width="38.44140625" customWidth="1"/>
    <col min="2" max="2" width="19.5546875" style="127" bestFit="1" customWidth="1"/>
    <col min="3" max="3" width="15.109375" style="65" bestFit="1" customWidth="1"/>
    <col min="4" max="4" width="17.5546875" bestFit="1" customWidth="1"/>
    <col min="5" max="5" width="6.21875" customWidth="1"/>
    <col min="6" max="6" width="25.44140625" bestFit="1" customWidth="1"/>
    <col min="7" max="7" width="11.44140625" customWidth="1"/>
    <col min="8" max="8" width="13.6640625" customWidth="1"/>
  </cols>
  <sheetData>
    <row r="1" spans="1:8" ht="15.75">
      <c r="A1" s="18" t="str">
        <f>'Sources and Use'!A1</f>
        <v xml:space="preserve">Project Name: </v>
      </c>
      <c r="B1" s="128"/>
      <c r="G1" s="148"/>
      <c r="H1" s="148"/>
    </row>
    <row r="2" spans="1:8" ht="15.75">
      <c r="A2" s="18" t="str">
        <f>'Sources and Use'!A2</f>
        <v>Development Team:</v>
      </c>
      <c r="B2" s="128"/>
      <c r="G2" s="148"/>
      <c r="H2" s="148"/>
    </row>
    <row r="3" spans="1:8" ht="15.75">
      <c r="A3" s="18" t="str">
        <f>'Sources and Use'!A3</f>
        <v>Site:</v>
      </c>
      <c r="B3" s="128"/>
      <c r="G3" s="148" t="str">
        <f>'Sources and Use'!C3</f>
        <v>Units:</v>
      </c>
      <c r="H3" s="147">
        <f>'Units &amp; Income'!C24</f>
        <v>0</v>
      </c>
    </row>
    <row r="5" spans="1:8" ht="15.75">
      <c r="A5" s="18" t="s">
        <v>370</v>
      </c>
    </row>
    <row r="6" spans="1:8" ht="15.75" thickBot="1">
      <c r="A6" s="149" t="s">
        <v>371</v>
      </c>
      <c r="B6" s="129"/>
      <c r="C6"/>
    </row>
    <row r="7" spans="1:8" ht="17.25" thickTop="1" thickBot="1">
      <c r="B7" s="128"/>
      <c r="F7" s="258" t="s">
        <v>372</v>
      </c>
      <c r="G7" s="202"/>
      <c r="H7" s="216"/>
    </row>
    <row r="8" spans="1:8" ht="16.5" thickTop="1">
      <c r="A8" s="130"/>
      <c r="B8" s="131" t="s">
        <v>373</v>
      </c>
      <c r="C8" s="132" t="s">
        <v>374</v>
      </c>
      <c r="D8" s="133" t="s">
        <v>375</v>
      </c>
      <c r="F8" s="408" t="s">
        <v>376</v>
      </c>
      <c r="H8" s="787" t="e">
        <f>H7/H3</f>
        <v>#DIV/0!</v>
      </c>
    </row>
    <row r="9" spans="1:8">
      <c r="A9" s="788" t="str">
        <f>'Devel. Bud'!A7</f>
        <v>Acquisition Cost</v>
      </c>
      <c r="B9" s="127" t="s">
        <v>377</v>
      </c>
      <c r="C9" s="111">
        <f>'Devel. Bud'!D7</f>
        <v>0</v>
      </c>
      <c r="D9" s="789"/>
      <c r="F9" s="408" t="s">
        <v>378</v>
      </c>
      <c r="H9" s="790" t="e">
        <f>('Devel. Bud'!D13)/'Devel. Bud'!D17</f>
        <v>#DIV/0!</v>
      </c>
    </row>
    <row r="10" spans="1:8">
      <c r="A10" s="408"/>
      <c r="C10" s="111"/>
      <c r="D10" s="791"/>
      <c r="F10" s="408" t="s">
        <v>379</v>
      </c>
      <c r="H10" s="792" t="e">
        <f>H8-H9</f>
        <v>#DIV/0!</v>
      </c>
    </row>
    <row r="11" spans="1:8">
      <c r="A11" s="788" t="str">
        <f>'Devel. Bud'!A9</f>
        <v>Construction Cost</v>
      </c>
      <c r="C11" s="111"/>
      <c r="D11" s="791"/>
      <c r="F11" s="140" t="s">
        <v>380</v>
      </c>
      <c r="G11" s="141"/>
      <c r="H11" s="142" t="e">
        <f ca="1">('Sources and Use'!B8-'Sources and Use'!B22)/'Sources and Use'!B8</f>
        <v>#DIV/0!</v>
      </c>
    </row>
    <row r="12" spans="1:8">
      <c r="A12" s="788" t="str">
        <f>'Devel. Bud'!A10</f>
        <v xml:space="preserve">Contractor Price </v>
      </c>
      <c r="C12" s="111"/>
      <c r="D12" s="791"/>
    </row>
    <row r="13" spans="1:8" ht="15.75" thickBot="1">
      <c r="A13" s="408" t="str">
        <f>'Devel. Bud'!A11</f>
        <v>Residential</v>
      </c>
      <c r="B13" s="127" t="s">
        <v>381</v>
      </c>
      <c r="C13" s="111">
        <f>'Devel. Bud'!D11</f>
        <v>0</v>
      </c>
      <c r="D13" s="793"/>
    </row>
    <row r="14" spans="1:8" ht="15.75" thickTop="1">
      <c r="A14" s="408" t="str">
        <f>'Devel. Bud'!A13</f>
        <v>Commercial Space</v>
      </c>
      <c r="B14" s="127" t="s">
        <v>377</v>
      </c>
      <c r="C14" s="111">
        <f>'Devel. Bud'!D13</f>
        <v>0</v>
      </c>
      <c r="D14" s="794"/>
      <c r="F14" s="130" t="s">
        <v>382</v>
      </c>
      <c r="G14" s="214"/>
      <c r="H14" s="215">
        <f>D78</f>
        <v>0</v>
      </c>
    </row>
    <row r="15" spans="1:8">
      <c r="A15" s="408" t="str">
        <f>'Devel. Bud'!A14</f>
        <v>Community Space</v>
      </c>
      <c r="B15" s="127" t="s">
        <v>381</v>
      </c>
      <c r="C15" s="111">
        <f>'Devel. Bud'!D14</f>
        <v>0</v>
      </c>
      <c r="D15" s="793"/>
      <c r="F15" s="408" t="s">
        <v>383</v>
      </c>
      <c r="H15" s="791" t="e">
        <f>H14/H7</f>
        <v>#DIV/0!</v>
      </c>
    </row>
    <row r="16" spans="1:8">
      <c r="A16" s="408" t="str">
        <f>'Devel. Bud'!A15</f>
        <v>Parking</v>
      </c>
      <c r="B16" s="127" t="s">
        <v>377</v>
      </c>
      <c r="C16" s="111">
        <f>'Devel. Bud'!D15</f>
        <v>0</v>
      </c>
      <c r="D16" s="794"/>
      <c r="F16" s="408" t="s">
        <v>384</v>
      </c>
      <c r="G16" s="795"/>
      <c r="H16" s="409">
        <f>H14*G16</f>
        <v>0</v>
      </c>
    </row>
    <row r="17" spans="1:8">
      <c r="A17" s="408" t="str">
        <f>'Devel. Bud'!A16</f>
        <v>Contingency</v>
      </c>
      <c r="B17" s="127" t="s">
        <v>381</v>
      </c>
      <c r="C17" s="111">
        <f>'Devel. Bud'!D16</f>
        <v>0</v>
      </c>
      <c r="D17" s="793"/>
      <c r="F17" s="408" t="s">
        <v>385</v>
      </c>
      <c r="G17" s="796"/>
      <c r="H17" s="797">
        <f>H16*G17</f>
        <v>0</v>
      </c>
    </row>
    <row r="18" spans="1:8">
      <c r="A18" s="408"/>
      <c r="C18" s="111"/>
      <c r="D18" s="409"/>
      <c r="F18" s="408" t="s">
        <v>386</v>
      </c>
      <c r="G18" s="798"/>
      <c r="H18" s="797">
        <f>H17*G18</f>
        <v>0</v>
      </c>
    </row>
    <row r="19" spans="1:8">
      <c r="A19" s="408"/>
      <c r="C19" s="111"/>
      <c r="D19" s="409"/>
      <c r="F19" s="410" t="s">
        <v>387</v>
      </c>
      <c r="G19" s="796"/>
      <c r="H19" s="797">
        <f>H18*G19</f>
        <v>0</v>
      </c>
    </row>
    <row r="20" spans="1:8">
      <c r="A20" s="408"/>
      <c r="C20" s="111"/>
      <c r="D20" s="409"/>
      <c r="F20" s="140" t="s">
        <v>388</v>
      </c>
      <c r="G20" s="141"/>
      <c r="H20" s="139">
        <f>H19*10</f>
        <v>0</v>
      </c>
    </row>
    <row r="21" spans="1:8">
      <c r="A21" s="788" t="str">
        <f>'Devel. Bud'!A17</f>
        <v>Total Hard Cost</v>
      </c>
      <c r="C21" s="135">
        <f>'Devel. Bud'!D17</f>
        <v>0</v>
      </c>
      <c r="D21" s="799">
        <f>SUM(D13:D20)</f>
        <v>0</v>
      </c>
    </row>
    <row r="22" spans="1:8">
      <c r="A22" s="408"/>
      <c r="C22" s="111"/>
      <c r="D22" s="791"/>
    </row>
    <row r="23" spans="1:8">
      <c r="A23" s="408"/>
      <c r="C23" s="111"/>
      <c r="D23" s="791"/>
    </row>
    <row r="24" spans="1:8">
      <c r="A24" s="788" t="str">
        <f>'Devel. Bud'!A20</f>
        <v>Soft Cost</v>
      </c>
      <c r="C24" s="111"/>
      <c r="D24" s="791"/>
    </row>
    <row r="25" spans="1:8">
      <c r="A25" s="408"/>
      <c r="C25" s="111"/>
      <c r="D25" s="791"/>
    </row>
    <row r="26" spans="1:8">
      <c r="A26" s="408" t="str">
        <f>'Devel. Bud'!A22</f>
        <v>Borrower's Legal</v>
      </c>
      <c r="B26" s="127" t="s">
        <v>381</v>
      </c>
      <c r="C26" s="111">
        <f>'Devel. Bud'!D22</f>
        <v>0</v>
      </c>
      <c r="D26" s="793"/>
    </row>
    <row r="27" spans="1:8">
      <c r="A27" s="408" t="str">
        <f>'Devel. Bud'!A23</f>
        <v>Borrower's Engineer/Architect Fees</v>
      </c>
      <c r="B27" s="127" t="s">
        <v>381</v>
      </c>
      <c r="C27" s="111">
        <f>'Devel. Bud'!D23</f>
        <v>0</v>
      </c>
      <c r="D27" s="793"/>
    </row>
    <row r="28" spans="1:8">
      <c r="A28" s="408" t="str">
        <f>'Devel. Bud'!A24</f>
        <v>Accounting &amp; Cost Certification</v>
      </c>
      <c r="B28" s="127" t="s">
        <v>381</v>
      </c>
      <c r="C28" s="111">
        <f>'Devel. Bud'!D24</f>
        <v>0</v>
      </c>
      <c r="D28" s="793"/>
    </row>
    <row r="29" spans="1:8">
      <c r="A29" s="408" t="str">
        <f>'Devel. Bud'!A25</f>
        <v>Housing/Development Consultant</v>
      </c>
      <c r="B29" s="127" t="s">
        <v>381</v>
      </c>
      <c r="C29" s="111">
        <f>'Devel. Bud'!D25</f>
        <v>0</v>
      </c>
      <c r="D29" s="793"/>
    </row>
    <row r="30" spans="1:8">
      <c r="A30" s="408" t="str">
        <f>'Devel. Bud'!A26</f>
        <v>Bank's Engineer</v>
      </c>
      <c r="B30" s="127" t="s">
        <v>381</v>
      </c>
      <c r="C30" s="111">
        <f>'Devel. Bud'!D26</f>
        <v>0</v>
      </c>
      <c r="D30" s="793"/>
    </row>
    <row r="31" spans="1:8">
      <c r="A31" s="408" t="str">
        <f>'Devel. Bud'!A27</f>
        <v>Bank Legal</v>
      </c>
      <c r="B31" s="127" t="s">
        <v>381</v>
      </c>
      <c r="C31" s="111">
        <f>'Devel. Bud'!D27</f>
        <v>0</v>
      </c>
      <c r="D31" s="793"/>
    </row>
    <row r="32" spans="1:8">
      <c r="A32" s="408" t="str">
        <f>'Devel. Bud'!A28</f>
        <v>Permits and expediting</v>
      </c>
      <c r="B32" s="127" t="s">
        <v>381</v>
      </c>
      <c r="C32" s="111">
        <f>'Devel. Bud'!D28</f>
        <v>0</v>
      </c>
      <c r="D32" s="793"/>
    </row>
    <row r="33" spans="1:11">
      <c r="A33" s="408" t="str">
        <f>'Devel. Bud'!A29</f>
        <v>Environmental Phase I &amp; II</v>
      </c>
      <c r="B33" s="127" t="s">
        <v>381</v>
      </c>
      <c r="C33" s="111">
        <f>'Devel. Bud'!D29</f>
        <v>0</v>
      </c>
      <c r="D33" s="793"/>
    </row>
    <row r="34" spans="1:11">
      <c r="A34" s="408" t="str">
        <f>'Devel. Bud'!A30</f>
        <v>CEQR</v>
      </c>
      <c r="B34" s="127" t="s">
        <v>381</v>
      </c>
      <c r="C34" s="111">
        <f>'Devel. Bud'!D30</f>
        <v>0</v>
      </c>
      <c r="D34" s="793"/>
    </row>
    <row r="35" spans="1:11">
      <c r="A35" s="408" t="str">
        <f>'Devel. Bud'!A31</f>
        <v>Borings</v>
      </c>
      <c r="B35" s="127" t="s">
        <v>381</v>
      </c>
      <c r="C35" s="111">
        <f>'Devel. Bud'!D31</f>
        <v>0</v>
      </c>
      <c r="D35" s="793"/>
    </row>
    <row r="36" spans="1:11">
      <c r="A36" s="408" t="str">
        <f>'Devel. Bud'!A32</f>
        <v>Survey</v>
      </c>
      <c r="B36" s="127" t="s">
        <v>381</v>
      </c>
      <c r="C36" s="111">
        <f>'Devel. Bud'!D32</f>
        <v>0</v>
      </c>
      <c r="D36" s="793"/>
    </row>
    <row r="37" spans="1:11">
      <c r="A37" s="408" t="str">
        <f>'Devel. Bud'!A33</f>
        <v>Geotechnical</v>
      </c>
      <c r="B37" s="127" t="s">
        <v>381</v>
      </c>
      <c r="C37" s="111">
        <f>'Devel. Bud'!D33</f>
        <v>0</v>
      </c>
      <c r="D37" s="793"/>
    </row>
    <row r="38" spans="1:11">
      <c r="A38" s="408" t="str">
        <f>'Devel. Bud'!A34</f>
        <v>Title Insurance</v>
      </c>
      <c r="B38" s="127" t="s">
        <v>381</v>
      </c>
      <c r="C38" s="111">
        <f>'Devel. Bud'!D34</f>
        <v>0</v>
      </c>
      <c r="D38" s="793"/>
    </row>
    <row r="39" spans="1:11">
      <c r="A39" s="408" t="str">
        <f>'Devel. Bud'!A35</f>
        <v xml:space="preserve">Appraisal </v>
      </c>
      <c r="B39" s="127" t="s">
        <v>377</v>
      </c>
      <c r="C39" s="111">
        <f>'Devel. Bud'!D36</f>
        <v>0</v>
      </c>
      <c r="D39" s="794"/>
    </row>
    <row r="40" spans="1:11">
      <c r="A40" s="788" t="str">
        <f>'Devel. Bud'!A37</f>
        <v>Subtotal</v>
      </c>
      <c r="C40" s="135">
        <f>'Devel. Bud'!D37</f>
        <v>0</v>
      </c>
      <c r="D40" s="799">
        <f>SUM(D26:D39)</f>
        <v>0</v>
      </c>
    </row>
    <row r="41" spans="1:11">
      <c r="A41" s="408"/>
      <c r="C41" s="111"/>
      <c r="D41" s="791"/>
    </row>
    <row r="42" spans="1:11" ht="15.75">
      <c r="A42" s="800" t="str">
        <f>'Devel. Bud'!A39</f>
        <v>Financing Fees (Please maintain links to original calculations and note any changes)</v>
      </c>
      <c r="C42" s="111"/>
      <c r="D42" s="791"/>
    </row>
    <row r="43" spans="1:11">
      <c r="A43" s="408" t="str">
        <f>'Devel. Bud'!A40</f>
        <v>Upfront L/C Fee</v>
      </c>
      <c r="B43" s="127" t="s">
        <v>381</v>
      </c>
      <c r="C43" s="111">
        <f>'Devel. Bud'!D40</f>
        <v>0</v>
      </c>
      <c r="D43" s="793"/>
      <c r="K43" t="s">
        <v>14</v>
      </c>
    </row>
    <row r="44" spans="1:11">
      <c r="A44" s="408" t="str">
        <f>'Devel. Bud'!A41</f>
        <v>Annual L/C Fee</v>
      </c>
      <c r="B44" s="127" t="s">
        <v>381</v>
      </c>
      <c r="C44" s="111">
        <f>'Devel. Bud'!D41</f>
        <v>0</v>
      </c>
      <c r="D44" s="793"/>
    </row>
    <row r="45" spans="1:11">
      <c r="A45" s="408" t="str">
        <f>'Devel. Bud'!A42</f>
        <v>HDC Fee (if applicable)</v>
      </c>
      <c r="B45" s="127" t="s">
        <v>377</v>
      </c>
      <c r="C45" s="111">
        <f>'Devel. Bud'!D42</f>
        <v>0</v>
      </c>
      <c r="D45" s="794"/>
    </row>
    <row r="46" spans="1:11">
      <c r="A46" s="408" t="str">
        <f>'Devel. Bud'!A44</f>
        <v>Costs of Issuance</v>
      </c>
      <c r="B46" s="127" t="s">
        <v>377</v>
      </c>
      <c r="C46" s="111">
        <f>'Devel. Bud'!D44</f>
        <v>0</v>
      </c>
      <c r="D46" s="793"/>
    </row>
    <row r="47" spans="1:11">
      <c r="A47" s="408" t="str">
        <f>'Devel. Bud'!A45</f>
        <v>HPD Fee (if applicable)</v>
      </c>
      <c r="B47" s="127" t="s">
        <v>377</v>
      </c>
      <c r="C47" s="111">
        <f>'Devel. Bud'!D45</f>
        <v>0</v>
      </c>
      <c r="D47" s="794"/>
    </row>
    <row r="48" spans="1:11">
      <c r="A48" s="408" t="str">
        <f>'Devel. Bud'!A46</f>
        <v>Interest Rate Cap (estimate)</v>
      </c>
      <c r="B48" s="127" t="s">
        <v>377</v>
      </c>
      <c r="C48" s="111">
        <f>'Devel. Bud'!D46</f>
        <v>0</v>
      </c>
      <c r="D48" s="794"/>
    </row>
    <row r="49" spans="1:4">
      <c r="A49" s="408" t="str">
        <f>'Devel. Bud'!A47</f>
        <v>Tax Exemption/Abatement Fees &amp; Consultant</v>
      </c>
      <c r="B49" s="127" t="s">
        <v>381</v>
      </c>
      <c r="C49" s="111">
        <f>'Devel. Bud'!D47</f>
        <v>0</v>
      </c>
      <c r="D49" s="794"/>
    </row>
    <row r="50" spans="1:4">
      <c r="A50" s="408" t="str">
        <f>'Devel. Bud'!A48</f>
        <v>LIHTC Application Fee</v>
      </c>
      <c r="B50" s="127" t="s">
        <v>377</v>
      </c>
      <c r="C50" s="111">
        <f>'Devel. Bud'!D48</f>
        <v>0</v>
      </c>
      <c r="D50" s="794"/>
    </row>
    <row r="51" spans="1:4">
      <c r="A51" s="408" t="str">
        <f>'Devel. Bud'!A49</f>
        <v>Non Profit Sponsor</v>
      </c>
      <c r="B51" s="127" t="s">
        <v>381</v>
      </c>
      <c r="C51" s="111">
        <f>'Devel. Bud'!D49</f>
        <v>0</v>
      </c>
      <c r="D51" s="794"/>
    </row>
    <row r="52" spans="1:4">
      <c r="A52" s="801" t="str">
        <f>'Devel. Bud'!A51</f>
        <v>Subtotal</v>
      </c>
      <c r="B52" s="136"/>
      <c r="C52" s="135">
        <f>'Devel. Bud'!D51</f>
        <v>0</v>
      </c>
      <c r="D52" s="802">
        <f>SUM(D43:D51)</f>
        <v>0</v>
      </c>
    </row>
    <row r="53" spans="1:4">
      <c r="A53" s="408"/>
      <c r="C53" s="111"/>
      <c r="D53" s="791"/>
    </row>
    <row r="54" spans="1:4" ht="15.75">
      <c r="A54" s="800" t="str">
        <f>'Devel. Bud'!A53</f>
        <v xml:space="preserve">Carrying Costs </v>
      </c>
      <c r="C54" s="111"/>
      <c r="D54" s="791"/>
    </row>
    <row r="55" spans="1:4">
      <c r="A55" s="408" t="str">
        <f>'Devel. Bud'!A54</f>
        <v>Construction Interest (Paid)</v>
      </c>
      <c r="B55" s="127" t="s">
        <v>381</v>
      </c>
      <c r="C55" s="111" t="e">
        <f ca="1">'Devel. Bud'!D54</f>
        <v>#DIV/0!</v>
      </c>
      <c r="D55" s="793"/>
    </row>
    <row r="56" spans="1:4">
      <c r="A56" s="408" t="str">
        <f>'Devel. Bud'!A56</f>
        <v>Negative Arbitrage</v>
      </c>
      <c r="B56" s="127" t="s">
        <v>377</v>
      </c>
      <c r="C56" s="111" t="e">
        <f ca="1">'Devel. Bud'!D56</f>
        <v>#DIV/0!</v>
      </c>
      <c r="D56" s="793"/>
    </row>
    <row r="57" spans="1:4">
      <c r="A57" s="408" t="str">
        <f>'Devel. Bud'!A57</f>
        <v>Mortgage Recorting Tax</v>
      </c>
      <c r="B57" s="127" t="s">
        <v>377</v>
      </c>
      <c r="C57" s="111">
        <f>'Devel. Bud'!D57</f>
        <v>0</v>
      </c>
      <c r="D57" s="794"/>
    </row>
    <row r="58" spans="1:4">
      <c r="A58" s="408" t="str">
        <f>'Devel. Bud'!A58</f>
        <v>Water/Sewer &amp; Real Estate Taxes</v>
      </c>
      <c r="B58" s="127" t="s">
        <v>381</v>
      </c>
      <c r="C58" s="111">
        <f>'Devel. Bud'!D58</f>
        <v>0</v>
      </c>
      <c r="D58" s="793"/>
    </row>
    <row r="59" spans="1:4">
      <c r="A59" s="408" t="str">
        <f>'Devel. Bud'!A59</f>
        <v>Utilities</v>
      </c>
      <c r="B59" s="127" t="s">
        <v>381</v>
      </c>
      <c r="C59" s="111">
        <f>'Devel. Bud'!D59</f>
        <v>0</v>
      </c>
      <c r="D59" s="793"/>
    </row>
    <row r="60" spans="1:4">
      <c r="A60" s="408" t="str">
        <f>'Devel. Bud'!A60</f>
        <v>Insurance</v>
      </c>
      <c r="B60" s="127" t="s">
        <v>381</v>
      </c>
      <c r="C60" s="111">
        <f>'Devel. Bud'!D60</f>
        <v>0</v>
      </c>
      <c r="D60" s="793"/>
    </row>
    <row r="61" spans="1:4">
      <c r="A61" s="408" t="str">
        <f>'Devel. Bud'!A61</f>
        <v>Construction Monitor</v>
      </c>
      <c r="B61" s="127" t="s">
        <v>381</v>
      </c>
      <c r="C61" s="111">
        <f>'Devel. Bud'!D61</f>
        <v>0</v>
      </c>
      <c r="D61" s="793"/>
    </row>
    <row r="62" spans="1:4">
      <c r="A62" s="408" t="str">
        <f>'Devel. Bud'!A62</f>
        <v>Marketing</v>
      </c>
      <c r="B62" s="127" t="s">
        <v>377</v>
      </c>
      <c r="C62" s="111">
        <f>'Devel. Bud'!D62</f>
        <v>0</v>
      </c>
      <c r="D62" s="794"/>
    </row>
    <row r="63" spans="1:4">
      <c r="A63" s="408" t="str">
        <f>'Devel. Bud'!A63</f>
        <v>Security</v>
      </c>
      <c r="B63" s="127" t="s">
        <v>381</v>
      </c>
      <c r="C63" s="111">
        <f>'Devel. Bud'!D63</f>
        <v>0</v>
      </c>
      <c r="D63" s="793"/>
    </row>
    <row r="64" spans="1:4">
      <c r="A64" s="801" t="str">
        <f>'Devel. Bud'!A65</f>
        <v>Subtotal</v>
      </c>
      <c r="B64" s="136"/>
      <c r="C64" s="135" t="e">
        <f ca="1">'Devel. Bud'!D65</f>
        <v>#DIV/0!</v>
      </c>
      <c r="D64" s="799">
        <f>SUM(D55:D63)</f>
        <v>0</v>
      </c>
    </row>
    <row r="65" spans="1:4">
      <c r="A65" s="408"/>
      <c r="C65" s="111"/>
      <c r="D65" s="791"/>
    </row>
    <row r="66" spans="1:4" ht="15.75">
      <c r="A66" s="800" t="str">
        <f>'Devel. Bud'!A67</f>
        <v>Reserves and Contingency</v>
      </c>
      <c r="C66" s="111"/>
      <c r="D66" s="791"/>
    </row>
    <row r="67" spans="1:4">
      <c r="A67" s="408" t="str">
        <f>'Devel. Bud'!A68</f>
        <v>Social Service Reserve</v>
      </c>
      <c r="B67" s="127" t="s">
        <v>377</v>
      </c>
      <c r="C67" s="111">
        <f>'Devel. Bud'!D68</f>
        <v>0</v>
      </c>
      <c r="D67" s="794"/>
    </row>
    <row r="68" spans="1:4">
      <c r="A68" s="408" t="str">
        <f>'Devel. Bud'!A69</f>
        <v>Capitalized Operating Reserve</v>
      </c>
      <c r="B68" s="127" t="s">
        <v>377</v>
      </c>
      <c r="C68" s="111">
        <f>'Devel. Bud'!D69</f>
        <v>0</v>
      </c>
      <c r="D68" s="794"/>
    </row>
    <row r="69" spans="1:4">
      <c r="A69" s="408" t="str">
        <f>'Devel. Bud'!A70</f>
        <v>Additional Operating Reserve (if applicable)</v>
      </c>
      <c r="B69" s="127" t="s">
        <v>377</v>
      </c>
      <c r="C69" s="111">
        <f>'Devel. Bud'!D70</f>
        <v>0</v>
      </c>
      <c r="D69" s="794"/>
    </row>
    <row r="70" spans="1:4">
      <c r="A70" s="408" t="str">
        <f>'Devel. Bud'!A71</f>
        <v>Soft Cost Contingency</v>
      </c>
      <c r="B70" s="127" t="s">
        <v>381</v>
      </c>
      <c r="C70" s="111">
        <f>'Devel. Bud'!D71</f>
        <v>0</v>
      </c>
      <c r="D70" s="793"/>
    </row>
    <row r="71" spans="1:4">
      <c r="A71" s="408"/>
      <c r="C71" s="111"/>
      <c r="D71" s="791"/>
    </row>
    <row r="72" spans="1:4">
      <c r="A72" s="801" t="str">
        <f>'Devel. Bud'!A72</f>
        <v>Subtotal</v>
      </c>
      <c r="C72" s="135">
        <f>'Devel. Bud'!D72</f>
        <v>0</v>
      </c>
      <c r="D72" s="799">
        <f>SUM(D66:D71)</f>
        <v>0</v>
      </c>
    </row>
    <row r="73" spans="1:4">
      <c r="A73" s="408"/>
      <c r="C73" s="111"/>
      <c r="D73" s="791"/>
    </row>
    <row r="74" spans="1:4">
      <c r="A74" s="788" t="str">
        <f>'Devel. Bud'!A74</f>
        <v>Total Soft Costs</v>
      </c>
      <c r="C74" s="135" t="e">
        <f ca="1">'Devel. Bud'!D74</f>
        <v>#DIV/0!</v>
      </c>
      <c r="D74" s="799">
        <f>D40+D52+D64+D72</f>
        <v>0</v>
      </c>
    </row>
    <row r="75" spans="1:4">
      <c r="A75" s="408"/>
      <c r="C75" s="111"/>
      <c r="D75" s="791"/>
    </row>
    <row r="76" spans="1:4" ht="15.75">
      <c r="A76" s="800" t="str">
        <f>'Devel. Bud'!A76</f>
        <v>Developer's Fee</v>
      </c>
      <c r="B76" s="127" t="s">
        <v>381</v>
      </c>
      <c r="C76" s="111">
        <f>'Devel. Bud'!D76</f>
        <v>0</v>
      </c>
      <c r="D76" s="793"/>
    </row>
    <row r="77" spans="1:4">
      <c r="A77" s="408"/>
      <c r="C77" s="111"/>
      <c r="D77" s="791"/>
    </row>
    <row r="78" spans="1:4" ht="15.75">
      <c r="A78" s="137" t="str">
        <f>'Devel. Bud'!A79</f>
        <v>Total Development Cost:</v>
      </c>
      <c r="B78" s="138"/>
      <c r="C78" s="143" t="e">
        <f ca="1">'Devel. Bud'!D79</f>
        <v>#DIV/0!</v>
      </c>
      <c r="D78" s="144">
        <f>D21+D74+D76</f>
        <v>0</v>
      </c>
    </row>
  </sheetData>
  <phoneticPr fontId="33" type="noConversion"/>
  <pageMargins left="0.75" right="0.75" top="1" bottom="1" header="0.5" footer="0.5"/>
  <pageSetup scale="50" firstPageNumber="213" orientation="portrait" useFirstPageNumber="1"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e6407ea-3f2c-4b1f-9bb3-8b6e67c68c17">
      <Terms xmlns="http://schemas.microsoft.com/office/infopath/2007/PartnerControls"/>
    </lcf76f155ced4ddcb4097134ff3c332f>
    <Number xmlns="ce6407ea-3f2c-4b1f-9bb3-8b6e67c68c17" xsi:nil="true"/>
    <TaxCatchAll xmlns="a87c9a78-4c74-453b-87e3-f984359c2a8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6FE649AC536A145A9D0B3571A2198F2" ma:contentTypeVersion="18" ma:contentTypeDescription="Create a new document." ma:contentTypeScope="" ma:versionID="9c7a88cb8a4c5d039bdbab31de1d8c50">
  <xsd:schema xmlns:xsd="http://www.w3.org/2001/XMLSchema" xmlns:xs="http://www.w3.org/2001/XMLSchema" xmlns:p="http://schemas.microsoft.com/office/2006/metadata/properties" xmlns:ns2="ce6407ea-3f2c-4b1f-9bb3-8b6e67c68c17" xmlns:ns3="a87c9a78-4c74-453b-87e3-f984359c2a8d" targetNamespace="http://schemas.microsoft.com/office/2006/metadata/properties" ma:root="true" ma:fieldsID="a9e1ad9b87938f0f97da7ab7b19124c2" ns2:_="" ns3:_="">
    <xsd:import namespace="ce6407ea-3f2c-4b1f-9bb3-8b6e67c68c17"/>
    <xsd:import namespace="a87c9a78-4c74-453b-87e3-f984359c2a8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Number"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6407ea-3f2c-4b1f-9bb3-8b6e67c68c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Number" ma:index="22" nillable="true" ma:displayName="Number" ma:format="Dropdown" ma:internalName="Number">
      <xsd:simpleType>
        <xsd:restriction base="dms:Text">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7c9a78-4c74-453b-87e3-f984359c2a8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1d04ade-61c1-49cd-9efb-d12455152372}" ma:internalName="TaxCatchAll" ma:showField="CatchAllData" ma:web="a87c9a78-4c74-453b-87e3-f984359c2a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29B707-E3A5-44B3-BC15-5676D234A0C5}"/>
</file>

<file path=customXml/itemProps2.xml><?xml version="1.0" encoding="utf-8"?>
<ds:datastoreItem xmlns:ds="http://schemas.openxmlformats.org/officeDocument/2006/customXml" ds:itemID="{A01AB6FE-B58A-413E-BB6A-F2467DE5BF94}"/>
</file>

<file path=customXml/itemProps3.xml><?xml version="1.0" encoding="utf-8"?>
<ds:datastoreItem xmlns:ds="http://schemas.openxmlformats.org/officeDocument/2006/customXml" ds:itemID="{56627DC0-EEBF-44EC-82BF-BE10ADC5CDE8}"/>
</file>

<file path=docProps/app.xml><?xml version="1.0" encoding="utf-8"?>
<Properties xmlns="http://schemas.openxmlformats.org/officeDocument/2006/extended-properties" xmlns:vt="http://schemas.openxmlformats.org/officeDocument/2006/docPropsVTypes">
  <Application>Microsoft Excel Online</Application>
  <Manager/>
  <Company>NYC Housing Development Corp.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mschatz</dc:creator>
  <cp:keywords/>
  <dc:description/>
  <cp:lastModifiedBy>Pivak, Amy (HPD)</cp:lastModifiedBy>
  <cp:revision/>
  <dcterms:created xsi:type="dcterms:W3CDTF">1998-09-24T19:31:31Z</dcterms:created>
  <dcterms:modified xsi:type="dcterms:W3CDTF">2025-07-21T17:01:40Z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ba276f-0474-4e48-a2bc-69b0eb22318c_Enabled">
    <vt:lpwstr>true</vt:lpwstr>
  </property>
  <property fmtid="{D5CDD505-2E9C-101B-9397-08002B2CF9AE}" pid="3" name="MSIP_Label_ebba276f-0474-4e48-a2bc-69b0eb22318c_SetDate">
    <vt:lpwstr>2024-07-22T17:05:30Z</vt:lpwstr>
  </property>
  <property fmtid="{D5CDD505-2E9C-101B-9397-08002B2CF9AE}" pid="4" name="MSIP_Label_ebba276f-0474-4e48-a2bc-69b0eb22318c_Method">
    <vt:lpwstr>Standard</vt:lpwstr>
  </property>
  <property fmtid="{D5CDD505-2E9C-101B-9397-08002B2CF9AE}" pid="5" name="MSIP_Label_ebba276f-0474-4e48-a2bc-69b0eb22318c_Name">
    <vt:lpwstr>Non-Restricted-Main</vt:lpwstr>
  </property>
  <property fmtid="{D5CDD505-2E9C-101B-9397-08002B2CF9AE}" pid="6" name="MSIP_Label_ebba276f-0474-4e48-a2bc-69b0eb22318c_SiteId">
    <vt:lpwstr>32f56fc7-5f81-4e22-a95b-15da66513bef</vt:lpwstr>
  </property>
  <property fmtid="{D5CDD505-2E9C-101B-9397-08002B2CF9AE}" pid="7" name="MSIP_Label_ebba276f-0474-4e48-a2bc-69b0eb22318c_ActionId">
    <vt:lpwstr>75760b0d-36bd-4b06-8611-1bb03812968e</vt:lpwstr>
  </property>
  <property fmtid="{D5CDD505-2E9C-101B-9397-08002B2CF9AE}" pid="8" name="MSIP_Label_ebba276f-0474-4e48-a2bc-69b0eb22318c_ContentBits">
    <vt:lpwstr>0</vt:lpwstr>
  </property>
  <property fmtid="{D5CDD505-2E9C-101B-9397-08002B2CF9AE}" pid="9" name="ContentTypeId">
    <vt:lpwstr>0x01010066FE649AC536A145A9D0B3571A2198F2</vt:lpwstr>
  </property>
  <property fmtid="{D5CDD505-2E9C-101B-9397-08002B2CF9AE}" pid="10" name="Order">
    <vt:r8>98800</vt:r8>
  </property>
  <property fmtid="{D5CDD505-2E9C-101B-9397-08002B2CF9AE}" pid="11" name="MediaServiceImageTags">
    <vt:lpwstr/>
  </property>
</Properties>
</file>