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defaultThemeVersion="124226"/>
  <mc:AlternateContent xmlns:mc="http://schemas.openxmlformats.org/markup-compatibility/2006">
    <mc:Choice Requires="x15">
      <x15ac:absPath xmlns:x15ac="http://schemas.microsoft.com/office/spreadsheetml/2010/11/ac" url="https://nyco365-my.sharepoint.com/personal/morand_hpd_nyc_gov/Documents/Term Sheets/MIMI/RFEI Materials/"/>
    </mc:Choice>
  </mc:AlternateContent>
  <xr:revisionPtr revIDLastSave="124" documentId="13_ncr:1_{4910BE34-7F18-4AC1-9A60-4BF68F01A20E}" xr6:coauthVersionLast="47" xr6:coauthVersionMax="47" xr10:uidLastSave="{2F570C68-EC2E-8E49-A44F-87484CCCA8E8}"/>
  <bookViews>
    <workbookView xWindow="0" yWindow="500" windowWidth="25600" windowHeight="15500" tabRatio="798" firstSheet="1" activeTab="11" xr2:uid="{00000000-000D-0000-FFFF-FFFF00000000}"/>
  </bookViews>
  <sheets>
    <sheet name="Instructions" sheetId="13" r:id="rId1"/>
    <sheet name="Sources and Use" sheetId="2" r:id="rId2"/>
    <sheet name="Devel. Bud" sheetId="5" r:id="rId3"/>
    <sheet name="Cons Int &amp; Neg Arb" sheetId="6" r:id="rId4"/>
    <sheet name="Units &amp; Income" sheetId="1" r:id="rId5"/>
    <sheet name="M and O" sheetId="3" r:id="rId6"/>
    <sheet name="Mort" sheetId="4" r:id="rId7"/>
    <sheet name="Cash Flow" sheetId="8" r:id="rId8"/>
    <sheet name="Trade Pmt" sheetId="10" r:id="rId9"/>
    <sheet name="Pro Forma Summary" sheetId="14" state="hidden" r:id="rId10"/>
    <sheet name="Fl Area Summary" sheetId="11" r:id="rId11"/>
    <sheet name="AMI &amp; Rent" sheetId="15" r:id="rId12"/>
    <sheet name="Project Summary" sheetId="12"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Fill" localSheetId="11" hidden="1">#REF!</definedName>
    <definedName name="_Fill" hidden="1">#REF!</definedName>
    <definedName name="Average_Size_of_Units">'[1]Cred Memo'!$H$181:$N$182</definedName>
    <definedName name="Balloon_on_HDC_Second_Mortgage">'[1]Cred Memo'!$B$146:$F$152</definedName>
    <definedName name="BLDGRESERVE" localSheetId="3">'[2]M and O'!#REF!</definedName>
    <definedName name="BLDGRESERVE">'M and O'!#REF!</definedName>
    <definedName name="CONCOST" localSheetId="7">#REF!</definedName>
    <definedName name="CONCOST">'Devel. Bud'!#REF!</definedName>
    <definedName name="conint">'[3]Devel. Bud'!#REF!</definedName>
    <definedName name="CONSTINTEREST" localSheetId="7">#REF!</definedName>
    <definedName name="CONSTINTEREST" localSheetId="3">'[2]Devel. Bud (2)'!#REF!</definedName>
    <definedName name="CONSTINTEREST">'Devel. Bud'!#REF!</definedName>
    <definedName name="Construction_Period__Sources_of_Funds">'[1]Cred Memo'!$B$108:$E$122</definedName>
    <definedName name="Development_Costs">'[1]Cred Memo'!$B$82:$F$103</definedName>
    <definedName name="Development_Team">'[1]Cred Memo'!$B$57:$G$61</definedName>
    <definedName name="DEVFEE" localSheetId="7">#REF!</definedName>
    <definedName name="DEVFEE">'Devel. Bud'!$D$100</definedName>
    <definedName name="EQUITY" localSheetId="7">#REF!</definedName>
    <definedName name="EQUITY">'Devel. Bud'!$D$101</definedName>
    <definedName name="ERI" localSheetId="7">[4]Mort!$D$13</definedName>
    <definedName name="ERI">Mort!#REF!</definedName>
    <definedName name="Expenses">'M and O'!$C$32</definedName>
    <definedName name="Financing_Information">'[1]Cred Memo'!$B$66:$G$75</definedName>
    <definedName name="FIRST">Mort!$H$30</definedName>
    <definedName name="GRR" localSheetId="7">'[4]Unit Distrib.'!#REF!</definedName>
    <definedName name="GRR">'Units &amp; Income'!#REF!</definedName>
    <definedName name="HDCDSC" localSheetId="7">[5]Income!$D$24</definedName>
    <definedName name="HDCDSC">[5]Income!$D$24</definedName>
    <definedName name="I_A">#REF!</definedName>
    <definedName name="LAUNDRY">'Units &amp; Income'!$E$39</definedName>
    <definedName name="Location_Information">'[1]Cred Memo'!$B$49:$G$53</definedName>
    <definedName name="NOI">Mort!$D$31</definedName>
    <definedName name="Operating_Budget">'[1]Cred Memo'!$B$225:$G$243</definedName>
    <definedName name="Permanent_Sources_of_Funds">'[1]Cred Memo'!$B$130:$G$144</definedName>
    <definedName name="_xlnm.Print_Area" localSheetId="11">'AMI &amp; Rent'!$A$1:$M$115</definedName>
    <definedName name="_xlnm.Print_Area" localSheetId="3">'Cons Int &amp; Neg Arb'!$A$1:$F$76</definedName>
    <definedName name="_xlnm.Print_Area" localSheetId="2">'Devel. Bud'!$A$1:$F$100</definedName>
    <definedName name="_xlnm.Print_Area" localSheetId="5">'M and O'!$A$1:$E$40</definedName>
    <definedName name="_xlnm.Print_Area" localSheetId="6">Mort!$A$1:$L$43</definedName>
    <definedName name="_xlnm.Print_Area" localSheetId="12">'Project Summary'!$A$1:$I$53</definedName>
    <definedName name="_xlnm.Print_Area" localSheetId="1">'Sources and Use'!$A$1:$D$38</definedName>
    <definedName name="_xlnm.Print_Area" localSheetId="4">'Units &amp; Income'!$A$1:$K$119</definedName>
    <definedName name="_xlnm.Print_Titles" localSheetId="7">'Cash Flow'!$A:$B</definedName>
    <definedName name="Project_Summary">'[1]Cred Memo'!$B$2:$G$10</definedName>
    <definedName name="ProjectType">[6]Sheet1!$A$1:$A$2</definedName>
    <definedName name="RENT1">#REF!</definedName>
    <definedName name="Res_DUs">[7]Data!$M$75</definedName>
    <definedName name="Residential_Data">'[1]Cred Memo'!$H$188:$L$206</definedName>
    <definedName name="ROOMS">'Units &amp; Income'!$E$21</definedName>
    <definedName name="SECOND">Mort!$I$30</definedName>
    <definedName name="Second_Mortgage">Mort!$I$22</definedName>
    <definedName name="solver_adj" localSheetId="11" hidden="1">'AMI &amp; Rent'!#REF!</definedName>
    <definedName name="solver_cvg" localSheetId="11" hidden="1">0.0001</definedName>
    <definedName name="solver_drv" localSheetId="11" hidden="1">1</definedName>
    <definedName name="solver_est" localSheetId="11" hidden="1">1</definedName>
    <definedName name="solver_itr" localSheetId="11" hidden="1">100</definedName>
    <definedName name="solver_lin" localSheetId="11" hidden="1">2</definedName>
    <definedName name="solver_neg" localSheetId="11" hidden="1">2</definedName>
    <definedName name="solver_num" localSheetId="11" hidden="1">0</definedName>
    <definedName name="solver_nwt" localSheetId="11" hidden="1">1</definedName>
    <definedName name="solver_opt" localSheetId="11" hidden="1">'AMI &amp; Rent'!#REF!</definedName>
    <definedName name="solver_pre" localSheetId="11" hidden="1">0.000001</definedName>
    <definedName name="solver_scl" localSheetId="11" hidden="1">2</definedName>
    <definedName name="solver_sho" localSheetId="11" hidden="1">2</definedName>
    <definedName name="solver_tim" localSheetId="11" hidden="1">100</definedName>
    <definedName name="solver_tol" localSheetId="11" hidden="1">0.05</definedName>
    <definedName name="solver_typ" localSheetId="11" hidden="1">3</definedName>
    <definedName name="solver_val" localSheetId="11" hidden="1">21520</definedName>
    <definedName name="Square_Footage">'[1]Cred Memo'!$B$15:$D$26</definedName>
    <definedName name="TCAW">#REF!</definedName>
    <definedName name="TOTALLOAN">Mort!$L$30</definedName>
    <definedName name="Unit_Breakdown_by_Rent_Level">'[1]Cred Memo'!$B$30:$D$46</definedName>
    <definedName name="Unit_Distribution_by_Monthly_Rent">'[1]Cred Memo'!$H$169:$O$176</definedName>
    <definedName name="Unit_Distribution_by_Rent_Level">'[1]Cred Memo'!$H$156:$N$163</definedName>
    <definedName name="UNITS">'Units &amp; Income'!$C$21</definedName>
    <definedName name="Z_1ECE83C7_A3CE_4F97_BFD3_498FF783C0D9_.wvu.Cols" localSheetId="5" hidden="1">'M and O'!#REF!</definedName>
    <definedName name="Z_1ECE83C7_A3CE_4F97_BFD3_498FF783C0D9_.wvu.PrintArea" localSheetId="3" hidden="1">'Cons Int &amp; Neg Arb'!$A$1:$F$70</definedName>
    <definedName name="Z_1ECE83C7_A3CE_4F97_BFD3_498FF783C0D9_.wvu.PrintArea" localSheetId="2" hidden="1">'Devel. Bud'!$A$1:$H$105</definedName>
    <definedName name="Z_1ECE83C7_A3CE_4F97_BFD3_498FF783C0D9_.wvu.PrintArea" localSheetId="5" hidden="1">'M and O'!$A$1:$E$43</definedName>
    <definedName name="Z_1ECE83C7_A3CE_4F97_BFD3_498FF783C0D9_.wvu.PrintArea" localSheetId="6" hidden="1">Mort!$A$1:$L$43</definedName>
    <definedName name="Z_1ECE83C7_A3CE_4F97_BFD3_498FF783C0D9_.wvu.PrintArea" localSheetId="1" hidden="1">'Sources and Use'!$A$1:$D$41</definedName>
    <definedName name="Z_1ECE83C7_A3CE_4F97_BFD3_498FF783C0D9_.wvu.PrintArea" localSheetId="4" hidden="1">'Units &amp; Income'!$B$1:$F$44</definedName>
    <definedName name="Z_25C4E7E7_1006_4A2D_BC83_AEE4ADF8A914_.wvu.Cols" localSheetId="5" hidden="1">'M and O'!#REF!</definedName>
    <definedName name="Z_25C4E7E7_1006_4A2D_BC83_AEE4ADF8A914_.wvu.PrintArea" localSheetId="3" hidden="1">'Cons Int &amp; Neg Arb'!$A$1:$F$70</definedName>
    <definedName name="Z_25C4E7E7_1006_4A2D_BC83_AEE4ADF8A914_.wvu.PrintArea" localSheetId="2" hidden="1">'Devel. Bud'!$A$1:$H$105</definedName>
    <definedName name="Z_25C4E7E7_1006_4A2D_BC83_AEE4ADF8A914_.wvu.PrintArea" localSheetId="5" hidden="1">'M and O'!$A$1:$E$43</definedName>
    <definedName name="Z_25C4E7E7_1006_4A2D_BC83_AEE4ADF8A914_.wvu.PrintArea" localSheetId="6" hidden="1">Mort!$A$1:$L$43</definedName>
    <definedName name="Z_25C4E7E7_1006_4A2D_BC83_AEE4ADF8A914_.wvu.PrintArea" localSheetId="1" hidden="1">'Sources and Use'!$A$1:$D$41</definedName>
    <definedName name="Z_25C4E7E7_1006_4A2D_BC83_AEE4ADF8A914_.wvu.PrintArea" localSheetId="4" hidden="1">'Units &amp; Income'!$B$1:$F$44</definedName>
    <definedName name="Z_25C4E7E7_1006_4A2D_BC83_AEE4ADF8A914_.wvu.Rows" localSheetId="3" hidden="1">'Cons Int &amp; Neg Arb'!$26:$29,'Cons Int &amp; Neg Arb'!$45:$51</definedName>
    <definedName name="Z_25C4E7E7_1006_4A2D_BC83_AEE4ADF8A914_.wvu.Rows" localSheetId="2" hidden="1">'Devel. Bud'!$98:$98</definedName>
    <definedName name="Z_25C4E7E7_1006_4A2D_BC83_AEE4ADF8A914_.wvu.Rows" localSheetId="5" hidden="1">'M and O'!$27:$27</definedName>
    <definedName name="Z_25C4E7E7_1006_4A2D_BC83_AEE4ADF8A914_.wvu.Rows" localSheetId="1" hidden="1">'Sources and Use'!#REF!</definedName>
    <definedName name="Z_28F81D13_D146_4D67_8981_BA5D7A496326_.wvu.Cols" localSheetId="5" hidden="1">'M and O'!#REF!</definedName>
    <definedName name="Z_28F81D13_D146_4D67_8981_BA5D7A496326_.wvu.PrintArea" localSheetId="3" hidden="1">'Cons Int &amp; Neg Arb'!$A$1:$I$67</definedName>
    <definedName name="Z_28F81D13_D146_4D67_8981_BA5D7A496326_.wvu.PrintArea" localSheetId="2" hidden="1">'Devel. Bud'!$A$1:$F$104</definedName>
    <definedName name="Z_28F81D13_D146_4D67_8981_BA5D7A496326_.wvu.PrintArea" localSheetId="5" hidden="1">'M and O'!$A$1:$E$42</definedName>
    <definedName name="Z_28F81D13_D146_4D67_8981_BA5D7A496326_.wvu.PrintArea" localSheetId="6" hidden="1">Mort!$A$1:$L$50</definedName>
    <definedName name="Z_28F81D13_D146_4D67_8981_BA5D7A496326_.wvu.PrintArea" localSheetId="1" hidden="1">'Sources and Use'!$A$1:$C$41</definedName>
    <definedName name="Z_28F81D13_D146_4D67_8981_BA5D7A496326_.wvu.PrintArea" localSheetId="4" hidden="1">'Units &amp; Income'!$B$1:$F$44</definedName>
    <definedName name="Z_28F81D13_D146_4D67_8981_BA5D7A496326_.wvu.Rows" localSheetId="3" hidden="1">'Cons Int &amp; Neg Arb'!$54:$54</definedName>
    <definedName name="Z_560D4AFA_61E5_46C3_B0CD_D0EB3053A033_.wvu.Cols" localSheetId="5" hidden="1">'M and O'!#REF!</definedName>
    <definedName name="Z_560D4AFA_61E5_46C3_B0CD_D0EB3053A033_.wvu.PrintArea" localSheetId="3" hidden="1">'Cons Int &amp; Neg Arb'!$A$1:$F$70</definedName>
    <definedName name="Z_560D4AFA_61E5_46C3_B0CD_D0EB3053A033_.wvu.PrintArea" localSheetId="2" hidden="1">'Devel. Bud'!$A$1:$H$105</definedName>
    <definedName name="Z_560D4AFA_61E5_46C3_B0CD_D0EB3053A033_.wvu.PrintArea" localSheetId="5" hidden="1">'M and O'!$A$1:$E$43</definedName>
    <definedName name="Z_560D4AFA_61E5_46C3_B0CD_D0EB3053A033_.wvu.PrintArea" localSheetId="6" hidden="1">Mort!$A$1:$L$43</definedName>
    <definedName name="Z_560D4AFA_61E5_46C3_B0CD_D0EB3053A033_.wvu.PrintArea" localSheetId="1" hidden="1">'Sources and Use'!$A$1:$D$41</definedName>
    <definedName name="Z_560D4AFA_61E5_46C3_B0CD_D0EB3053A033_.wvu.PrintArea" localSheetId="4" hidden="1">'Units &amp; Income'!$B$1:$F$44</definedName>
    <definedName name="Z_560D4AFA_61E5_46C3_B0CD_D0EB3053A033_.wvu.Rows" localSheetId="3" hidden="1">'Cons Int &amp; Neg Arb'!$26:$29,'Cons Int &amp; Neg Arb'!$45:$51</definedName>
    <definedName name="Z_560D4AFA_61E5_46C3_B0CD_D0EB3053A033_.wvu.Rows" localSheetId="2" hidden="1">'Devel. Bud'!$98:$98</definedName>
    <definedName name="Z_560D4AFA_61E5_46C3_B0CD_D0EB3053A033_.wvu.Rows" localSheetId="5" hidden="1">'M and O'!$27:$27</definedName>
    <definedName name="Z_560D4AFA_61E5_46C3_B0CD_D0EB3053A033_.wvu.Rows" localSheetId="1" hidden="1">'Sources and Use'!#REF!</definedName>
    <definedName name="Z_6EF643BE_69F3_424E_8A44_3890161370D4_.wvu.Cols" localSheetId="5" hidden="1">'M and O'!#REF!</definedName>
    <definedName name="Z_6EF643BE_69F3_424E_8A44_3890161370D4_.wvu.PrintArea" localSheetId="3" hidden="1">'Cons Int &amp; Neg Arb'!$A$1:$I$67</definedName>
    <definedName name="Z_6EF643BE_69F3_424E_8A44_3890161370D4_.wvu.PrintArea" localSheetId="2" hidden="1">'Devel. Bud'!$A$1:$F$89</definedName>
    <definedName name="Z_6EF643BE_69F3_424E_8A44_3890161370D4_.wvu.PrintArea" localSheetId="5" hidden="1">'M and O'!$A$1:$E$42</definedName>
    <definedName name="Z_6EF643BE_69F3_424E_8A44_3890161370D4_.wvu.PrintArea" localSheetId="6" hidden="1">Mort!$A$1:$L$50</definedName>
    <definedName name="Z_6EF643BE_69F3_424E_8A44_3890161370D4_.wvu.PrintArea" localSheetId="1" hidden="1">'Sources and Use'!$A$1:$C$41</definedName>
    <definedName name="Z_6EF643BE_69F3_424E_8A44_3890161370D4_.wvu.PrintArea" localSheetId="4" hidden="1">'Units &amp; Income'!$B$1:$F$44</definedName>
    <definedName name="Z_6EF643BE_69F3_424E_8A44_3890161370D4_.wvu.Rows" localSheetId="3" hidden="1">'Cons Int &amp; Neg Arb'!$54:$54</definedName>
    <definedName name="Z_AEA5979F_5357_4ED6_A6CA_1BB80F5C7A74_.wvu.Cols" localSheetId="5" hidden="1">'M and O'!#REF!</definedName>
    <definedName name="Z_AEA5979F_5357_4ED6_A6CA_1BB80F5C7A74_.wvu.PrintArea" localSheetId="3" hidden="1">'Cons Int &amp; Neg Arb'!$A$1:$I$67</definedName>
    <definedName name="Z_AEA5979F_5357_4ED6_A6CA_1BB80F5C7A74_.wvu.PrintArea" localSheetId="2" hidden="1">'Devel. Bud'!$A$1:$F$89</definedName>
    <definedName name="Z_AEA5979F_5357_4ED6_A6CA_1BB80F5C7A74_.wvu.PrintArea" localSheetId="5" hidden="1">'M and O'!$A$1:$E$42</definedName>
    <definedName name="Z_AEA5979F_5357_4ED6_A6CA_1BB80F5C7A74_.wvu.PrintArea" localSheetId="6" hidden="1">Mort!$A$1:$L$50</definedName>
    <definedName name="Z_AEA5979F_5357_4ED6_A6CA_1BB80F5C7A74_.wvu.PrintArea" localSheetId="1" hidden="1">'Sources and Use'!$A$1:$C$41</definedName>
    <definedName name="Z_AEA5979F_5357_4ED6_A6CA_1BB80F5C7A74_.wvu.PrintArea" localSheetId="4" hidden="1">'Units &amp; Income'!$B$1:$F$44</definedName>
    <definedName name="Z_AEA5979F_5357_4ED6_A6CA_1BB80F5C7A74_.wvu.Rows" localSheetId="3" hidden="1">'Cons Int &amp; Neg Arb'!$54:$54</definedName>
    <definedName name="Z_EB776EFC_3589_4DB5_BEAF_1E83D9703F9E_.wvu.Cols" localSheetId="3" hidden="1">'Cons Int &amp; Neg Arb'!#REF!</definedName>
    <definedName name="Z_EB776EFC_3589_4DB5_BEAF_1E83D9703F9E_.wvu.Cols" localSheetId="2" hidden="1">'Devel. Bud'!#REF!</definedName>
    <definedName name="Z_EB776EFC_3589_4DB5_BEAF_1E83D9703F9E_.wvu.Cols" localSheetId="5" hidden="1">'M and O'!#REF!</definedName>
    <definedName name="Z_EB776EFC_3589_4DB5_BEAF_1E83D9703F9E_.wvu.PrintArea" localSheetId="2" hidden="1">'Devel. Bud'!$A$1:$F$89</definedName>
    <definedName name="Z_EB776EFC_3589_4DB5_BEAF_1E83D9703F9E_.wvu.PrintArea" localSheetId="5" hidden="1">'M and O'!$A$1:$E$42</definedName>
    <definedName name="Z_EB776EFC_3589_4DB5_BEAF_1E83D9703F9E_.wvu.PrintArea" localSheetId="6" hidden="1">Mort!$A$1:$L$50</definedName>
    <definedName name="Z_EB776EFC_3589_4DB5_BEAF_1E83D9703F9E_.wvu.PrintArea" localSheetId="4" hidden="1">'Units &amp; Income'!$B$1:$F$44</definedName>
    <definedName name="Z_EB776EFC_3589_4DB5_BEAF_1E83D9703F9E_.wvu.Rows" localSheetId="3" hidden="1">'Cons Int &amp; Neg Arb'!$54:$54</definedName>
    <definedName name="Z_FBB4BF8E_8A9F_4E98_A6F9_5F9BF4C55C67_.wvu.Cols" localSheetId="3" hidden="1">'Cons Int &amp; Neg Arb'!#REF!</definedName>
    <definedName name="Z_FBB4BF8E_8A9F_4E98_A6F9_5F9BF4C55C67_.wvu.Cols" localSheetId="2" hidden="1">'Devel. Bud'!#REF!</definedName>
    <definedName name="Z_FBB4BF8E_8A9F_4E98_A6F9_5F9BF4C55C67_.wvu.Cols" localSheetId="5" hidden="1">'M and O'!#REF!</definedName>
    <definedName name="Z_FBB4BF8E_8A9F_4E98_A6F9_5F9BF4C55C67_.wvu.PrintArea" localSheetId="2" hidden="1">'Devel. Bud'!$A$1:$F$89</definedName>
    <definedName name="Z_FBB4BF8E_8A9F_4E98_A6F9_5F9BF4C55C67_.wvu.PrintArea" localSheetId="5" hidden="1">'M and O'!$A$1:$E$42</definedName>
    <definedName name="Z_FBB4BF8E_8A9F_4E98_A6F9_5F9BF4C55C67_.wvu.PrintArea" localSheetId="6" hidden="1">Mort!$A$1:$L$50</definedName>
    <definedName name="Z_FBB4BF8E_8A9F_4E98_A6F9_5F9BF4C55C67_.wvu.PrintArea" localSheetId="4" hidden="1">'Units &amp; Income'!$B$1:$F$44</definedName>
    <definedName name="Z_FBB4BF8E_8A9F_4E98_A6F9_5F9BF4C55C67_.wvu.Rows" localSheetId="3" hidden="1">'Cons Int &amp; Neg Arb'!$54:$54</definedName>
  </definedNames>
  <calcPr calcId="191028" iterate="1"/>
  <customWorkbookViews>
    <customWorkbookView name="framirez - Personal View" guid="{25C4E7E7-1006-4A2D-BC83-AEE4ADF8A914}" mergeInterval="0" personalView="1" maximized="1" windowWidth="796" windowHeight="402" tabRatio="734" activeSheetId="4"/>
    <customWorkbookView name="Shelly Fox - Personal View" guid="{28F81D13-D146-4D67-8981-BA5D7A496326}" mergeInterval="0" personalView="1" maximized="1" windowWidth="796" windowHeight="428" tabRatio="601" activeSheetId="5"/>
    <customWorkbookView name="grodney - Personal View" guid="{AEA5979F-5357-4ED6-A6CA-1BB80F5C7A74}" mergeInterval="0" personalView="1" maximized="1" windowWidth="1020" windowHeight="604" tabRatio="601" activeSheetId="1"/>
    <customWorkbookView name="  - Personal View" guid="{EB776EFC-3589-4DB5-BEAF-1E83D9703F9E}" mergeInterval="0" personalView="1" maximized="1" windowWidth="1020" windowHeight="632" tabRatio="601" activeSheetId="3"/>
    <customWorkbookView name="rgrossman - Personal View" guid="{FBB4BF8E-8A9F-4E98-A6F9-5F9BF4C55C67}" mergeInterval="0" personalView="1" maximized="1" windowWidth="796" windowHeight="411" tabRatio="601" activeSheetId="5"/>
    <customWorkbookView name="akoffman - Personal View" guid="{6EF643BE-69F3-424E-8A44-3890161370D4}" mergeInterval="0" personalView="1" maximized="1" windowWidth="796" windowHeight="411" tabRatio="601" activeSheetId="5"/>
    <customWorkbookView name="dandrepont - Personal View" guid="{1ECE83C7-A3CE-4F97-BFD3-498FF783C0D9}" mergeInterval="0" personalView="1" xWindow="365" yWindow="33" windowWidth="649" windowHeight="528" tabRatio="734" activeSheetId="5"/>
    <customWorkbookView name="NYC - Personal View" guid="{560D4AFA-61E5-46C3-B0CD-D0EB3053A033}" mergeInterval="0" personalView="1" maximized="1" windowWidth="994" windowHeight="554" tabRatio="734" activeSheetId="1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22" i="2"/>
  <c r="B23" i="2"/>
  <c r="B25" i="2"/>
  <c r="B26" i="2"/>
  <c r="B27" i="2"/>
  <c r="A21" i="2"/>
  <c r="A22" i="2"/>
  <c r="A23" i="2"/>
  <c r="A24" i="2"/>
  <c r="A25" i="2"/>
  <c r="A26" i="2"/>
  <c r="A27" i="2"/>
  <c r="A28" i="2"/>
  <c r="A20" i="2"/>
  <c r="A11" i="2"/>
  <c r="B14" i="2"/>
  <c r="B13" i="2"/>
  <c r="M62" i="5"/>
  <c r="M36" i="5"/>
  <c r="L69" i="5"/>
  <c r="L62" i="5"/>
  <c r="L36" i="5"/>
  <c r="L15" i="5"/>
  <c r="L16" i="5" s="1"/>
  <c r="K69" i="5"/>
  <c r="K62" i="5"/>
  <c r="K36" i="5"/>
  <c r="K15" i="5"/>
  <c r="M15" i="5" s="1"/>
  <c r="M16" i="5" s="1"/>
  <c r="J69" i="5"/>
  <c r="J62" i="5"/>
  <c r="J36" i="5"/>
  <c r="J15" i="5"/>
  <c r="J16" i="5" s="1"/>
  <c r="I69" i="5"/>
  <c r="I62" i="5"/>
  <c r="I36" i="5"/>
  <c r="I15" i="5"/>
  <c r="I16" i="5" s="1"/>
  <c r="F98" i="1"/>
  <c r="F97" i="1"/>
  <c r="F96" i="1"/>
  <c r="F95" i="1"/>
  <c r="C20" i="1"/>
  <c r="C19" i="1"/>
  <c r="C18" i="1"/>
  <c r="C17" i="1"/>
  <c r="C11" i="3"/>
  <c r="A80" i="15"/>
  <c r="A68" i="15"/>
  <c r="A55" i="15"/>
  <c r="D62" i="15" s="1"/>
  <c r="E62" i="15" s="1"/>
  <c r="A42" i="15"/>
  <c r="D51" i="15" s="1"/>
  <c r="E51" i="15" s="1"/>
  <c r="A29" i="15"/>
  <c r="D38" i="15" s="1"/>
  <c r="E38" i="15" s="1"/>
  <c r="I38" i="15" s="1"/>
  <c r="A17" i="15"/>
  <c r="M21" i="15" s="1"/>
  <c r="C47" i="1"/>
  <c r="C46" i="1"/>
  <c r="H47" i="1"/>
  <c r="I47" i="1"/>
  <c r="J47" i="1"/>
  <c r="H48" i="1"/>
  <c r="I48" i="1"/>
  <c r="J48" i="1"/>
  <c r="H49" i="1"/>
  <c r="I49" i="1"/>
  <c r="J49" i="1"/>
  <c r="J46" i="1"/>
  <c r="I46" i="1"/>
  <c r="H46" i="1"/>
  <c r="C114" i="15"/>
  <c r="K113" i="15"/>
  <c r="K112" i="15" s="1"/>
  <c r="K111" i="15" s="1"/>
  <c r="K110" i="15" s="1"/>
  <c r="K109" i="15" s="1"/>
  <c r="K108" i="15" s="1"/>
  <c r="K107" i="15" s="1"/>
  <c r="D113" i="15"/>
  <c r="E113" i="15" s="1"/>
  <c r="D111" i="15"/>
  <c r="E111" i="15" s="1"/>
  <c r="D109" i="15"/>
  <c r="E109" i="15" s="1"/>
  <c r="C109" i="15"/>
  <c r="M108" i="15"/>
  <c r="D110" i="15" s="1"/>
  <c r="E110" i="15" s="1"/>
  <c r="L108" i="15"/>
  <c r="L109" i="15" s="1"/>
  <c r="M107" i="15"/>
  <c r="C102" i="15"/>
  <c r="K101" i="15"/>
  <c r="K100" i="15" s="1"/>
  <c r="K99" i="15" s="1"/>
  <c r="K98" i="15" s="1"/>
  <c r="K97" i="15" s="1"/>
  <c r="K96" i="15" s="1"/>
  <c r="K95" i="15" s="1"/>
  <c r="D101" i="15"/>
  <c r="E101" i="15" s="1"/>
  <c r="E99" i="15"/>
  <c r="I99" i="15" s="1"/>
  <c r="D99" i="15"/>
  <c r="L97" i="15"/>
  <c r="L98" i="15" s="1"/>
  <c r="C97" i="15"/>
  <c r="D97" i="15" s="1"/>
  <c r="E97" i="15" s="1"/>
  <c r="L96" i="15"/>
  <c r="M96" i="15" s="1"/>
  <c r="M95" i="15"/>
  <c r="D98" i="15" s="1"/>
  <c r="E98" i="15" s="1"/>
  <c r="C90" i="15"/>
  <c r="K89" i="15"/>
  <c r="K88" i="15" s="1"/>
  <c r="K87" i="15" s="1"/>
  <c r="K86" i="15" s="1"/>
  <c r="K85" i="15" s="1"/>
  <c r="D89" i="15"/>
  <c r="E89" i="15" s="1"/>
  <c r="F89" i="15" s="1"/>
  <c r="D87" i="15"/>
  <c r="E87" i="15" s="1"/>
  <c r="F105" i="1" s="1"/>
  <c r="M85" i="15"/>
  <c r="L85" i="15"/>
  <c r="L86" i="15" s="1"/>
  <c r="C85" i="15"/>
  <c r="D85" i="15" s="1"/>
  <c r="E85" i="15" s="1"/>
  <c r="M84" i="15"/>
  <c r="L84" i="15"/>
  <c r="K84" i="15"/>
  <c r="K83" i="15" s="1"/>
  <c r="M83" i="15"/>
  <c r="C78" i="15"/>
  <c r="K77" i="15"/>
  <c r="E77" i="15"/>
  <c r="F77" i="15" s="1"/>
  <c r="D77" i="15"/>
  <c r="K76" i="15"/>
  <c r="K75" i="15" s="1"/>
  <c r="K74" i="15" s="1"/>
  <c r="K73" i="15" s="1"/>
  <c r="K72" i="15" s="1"/>
  <c r="K71" i="15" s="1"/>
  <c r="D75" i="15"/>
  <c r="E75" i="15" s="1"/>
  <c r="C73" i="15"/>
  <c r="D73" i="15" s="1"/>
  <c r="E73" i="15" s="1"/>
  <c r="L72" i="15"/>
  <c r="M71" i="15"/>
  <c r="C65" i="15"/>
  <c r="K64" i="15"/>
  <c r="K63" i="15" s="1"/>
  <c r="K62" i="15" s="1"/>
  <c r="K61" i="15" s="1"/>
  <c r="K60" i="15" s="1"/>
  <c r="D64" i="15"/>
  <c r="E64" i="15" s="1"/>
  <c r="L61" i="15"/>
  <c r="M60" i="15"/>
  <c r="L60" i="15"/>
  <c r="C60" i="15"/>
  <c r="D60" i="15" s="1"/>
  <c r="E60" i="15" s="1"/>
  <c r="L59" i="15"/>
  <c r="K59" i="15"/>
  <c r="K58" i="15" s="1"/>
  <c r="M58" i="15"/>
  <c r="C52" i="15"/>
  <c r="K51" i="15"/>
  <c r="K50" i="15"/>
  <c r="K49" i="15" s="1"/>
  <c r="D49" i="15"/>
  <c r="E49" i="15" s="1"/>
  <c r="K48" i="15"/>
  <c r="K47" i="15" s="1"/>
  <c r="C47" i="15"/>
  <c r="D47" i="15" s="1"/>
  <c r="E47" i="15" s="1"/>
  <c r="F79" i="1" s="1"/>
  <c r="L46" i="15"/>
  <c r="K46" i="15"/>
  <c r="K45" i="15" s="1"/>
  <c r="M45" i="15"/>
  <c r="C39" i="15"/>
  <c r="K38" i="15"/>
  <c r="K37" i="15"/>
  <c r="K36" i="15"/>
  <c r="D36" i="15"/>
  <c r="E36" i="15" s="1"/>
  <c r="I36" i="15" s="1"/>
  <c r="K35" i="15"/>
  <c r="K34" i="15"/>
  <c r="L33" i="15"/>
  <c r="L34" i="15" s="1"/>
  <c r="L35" i="15" s="1"/>
  <c r="K33" i="15"/>
  <c r="K32" i="15"/>
  <c r="C27" i="15"/>
  <c r="K26" i="15"/>
  <c r="K25" i="15" s="1"/>
  <c r="K24" i="15" s="1"/>
  <c r="K23" i="15" s="1"/>
  <c r="K22" i="15" s="1"/>
  <c r="K21" i="15" s="1"/>
  <c r="K20" i="15" s="1"/>
  <c r="D26" i="15"/>
  <c r="E26" i="15" s="1"/>
  <c r="D24" i="15"/>
  <c r="E24" i="15" s="1"/>
  <c r="L22" i="15"/>
  <c r="M22" i="15" s="1"/>
  <c r="C22" i="15"/>
  <c r="D22" i="15" s="1"/>
  <c r="E22" i="15" s="1"/>
  <c r="F63" i="1" s="1"/>
  <c r="L21" i="15"/>
  <c r="M20" i="15"/>
  <c r="H10" i="15"/>
  <c r="H9" i="15"/>
  <c r="H8" i="15"/>
  <c r="H7" i="15"/>
  <c r="H6" i="15"/>
  <c r="H5" i="15"/>
  <c r="K16" i="5" l="1"/>
  <c r="M69" i="5"/>
  <c r="D23" i="15"/>
  <c r="E23" i="15" s="1"/>
  <c r="F64" i="1" s="1"/>
  <c r="F87" i="15"/>
  <c r="F85" i="15"/>
  <c r="F103" i="1"/>
  <c r="D86" i="15"/>
  <c r="E86" i="15" s="1"/>
  <c r="F104" i="1" s="1"/>
  <c r="F73" i="15"/>
  <c r="G73" i="15"/>
  <c r="F75" i="15"/>
  <c r="G75" i="15"/>
  <c r="G77" i="15"/>
  <c r="G60" i="15"/>
  <c r="F60" i="15"/>
  <c r="H60" i="15"/>
  <c r="F87" i="1"/>
  <c r="G62" i="15"/>
  <c r="F89" i="1"/>
  <c r="H62" i="15"/>
  <c r="F62" i="15"/>
  <c r="G64" i="15"/>
  <c r="H64" i="15"/>
  <c r="F64" i="15"/>
  <c r="M59" i="15"/>
  <c r="D61" i="15" s="1"/>
  <c r="E61" i="15" s="1"/>
  <c r="H61" i="15" s="1"/>
  <c r="H51" i="15"/>
  <c r="G51" i="15"/>
  <c r="F51" i="15"/>
  <c r="H49" i="15"/>
  <c r="F81" i="1"/>
  <c r="I51" i="15"/>
  <c r="M46" i="15"/>
  <c r="D48" i="15" s="1"/>
  <c r="E48" i="15" s="1"/>
  <c r="M32" i="15"/>
  <c r="C34" i="15"/>
  <c r="D34" i="15"/>
  <c r="E34" i="15" s="1"/>
  <c r="F73" i="1"/>
  <c r="F24" i="15"/>
  <c r="F65" i="1"/>
  <c r="F26" i="15"/>
  <c r="H26" i="15"/>
  <c r="G26" i="15"/>
  <c r="I26" i="15"/>
  <c r="M35" i="15"/>
  <c r="L36" i="15"/>
  <c r="C29" i="15"/>
  <c r="I23" i="15"/>
  <c r="H23" i="15"/>
  <c r="G23" i="15"/>
  <c r="F23" i="15"/>
  <c r="F22" i="15"/>
  <c r="I22" i="15"/>
  <c r="H22" i="15"/>
  <c r="G22" i="15"/>
  <c r="H47" i="15"/>
  <c r="I47" i="15"/>
  <c r="G47" i="15"/>
  <c r="F47" i="15"/>
  <c r="F34" i="15"/>
  <c r="F36" i="15"/>
  <c r="F49" i="15"/>
  <c r="L62" i="15"/>
  <c r="M61" i="15"/>
  <c r="C55" i="15"/>
  <c r="H86" i="15"/>
  <c r="G86" i="15"/>
  <c r="I113" i="15"/>
  <c r="H113" i="15"/>
  <c r="G113" i="15"/>
  <c r="F113" i="15"/>
  <c r="H24" i="15"/>
  <c r="G36" i="15"/>
  <c r="L23" i="15"/>
  <c r="M33" i="15"/>
  <c r="D35" i="15" s="1"/>
  <c r="E35" i="15" s="1"/>
  <c r="F72" i="1" s="1"/>
  <c r="I101" i="15"/>
  <c r="M34" i="15"/>
  <c r="I87" i="15"/>
  <c r="H87" i="15"/>
  <c r="G87" i="15"/>
  <c r="I97" i="15"/>
  <c r="H97" i="15"/>
  <c r="G97" i="15"/>
  <c r="F97" i="15"/>
  <c r="I109" i="15"/>
  <c r="H109" i="15"/>
  <c r="G109" i="15"/>
  <c r="F109" i="15"/>
  <c r="M98" i="15"/>
  <c r="C92" i="15"/>
  <c r="L99" i="15"/>
  <c r="I111" i="15"/>
  <c r="H111" i="15"/>
  <c r="G111" i="15"/>
  <c r="F111" i="15"/>
  <c r="F38" i="15"/>
  <c r="I85" i="15"/>
  <c r="H85" i="15"/>
  <c r="G85" i="15"/>
  <c r="G24" i="15"/>
  <c r="L73" i="15"/>
  <c r="M72" i="15"/>
  <c r="D74" i="15" s="1"/>
  <c r="E74" i="15" s="1"/>
  <c r="G38" i="15"/>
  <c r="G49" i="15"/>
  <c r="L87" i="15"/>
  <c r="M86" i="15"/>
  <c r="C80" i="15"/>
  <c r="L110" i="15"/>
  <c r="M109" i="15"/>
  <c r="I24" i="15"/>
  <c r="H36" i="15"/>
  <c r="H38" i="15"/>
  <c r="L47" i="15"/>
  <c r="I49" i="15"/>
  <c r="I89" i="15"/>
  <c r="H89" i="15"/>
  <c r="G89" i="15"/>
  <c r="G98" i="15"/>
  <c r="F98" i="15"/>
  <c r="I98" i="15"/>
  <c r="H98" i="15"/>
  <c r="F110" i="15"/>
  <c r="I110" i="15"/>
  <c r="H110" i="15"/>
  <c r="G110" i="15"/>
  <c r="I60" i="15"/>
  <c r="I62" i="15"/>
  <c r="I64" i="15"/>
  <c r="H73" i="15"/>
  <c r="H75" i="15"/>
  <c r="H77" i="15"/>
  <c r="M97" i="15"/>
  <c r="F99" i="15"/>
  <c r="F101" i="15"/>
  <c r="I73" i="15"/>
  <c r="I75" i="15"/>
  <c r="I77" i="15"/>
  <c r="G99" i="15"/>
  <c r="G101" i="15"/>
  <c r="H99" i="15"/>
  <c r="H101" i="15"/>
  <c r="F86" i="15" l="1"/>
  <c r="I86" i="15"/>
  <c r="F88" i="1"/>
  <c r="I61" i="15"/>
  <c r="F61" i="15"/>
  <c r="G61" i="15"/>
  <c r="F80" i="1"/>
  <c r="H48" i="15"/>
  <c r="G48" i="15"/>
  <c r="I48" i="15"/>
  <c r="F48" i="15"/>
  <c r="I34" i="15"/>
  <c r="F71" i="1"/>
  <c r="G34" i="15"/>
  <c r="H34" i="15"/>
  <c r="L100" i="15"/>
  <c r="M99" i="15"/>
  <c r="D100" i="15" s="1"/>
  <c r="E100" i="15" s="1"/>
  <c r="I74" i="15"/>
  <c r="H74" i="15"/>
  <c r="G74" i="15"/>
  <c r="F74" i="15"/>
  <c r="F35" i="15"/>
  <c r="H35" i="15"/>
  <c r="I35" i="15"/>
  <c r="G35" i="15"/>
  <c r="M110" i="15"/>
  <c r="C104" i="15"/>
  <c r="L111" i="15"/>
  <c r="L48" i="15"/>
  <c r="M47" i="15"/>
  <c r="L24" i="15"/>
  <c r="M23" i="15"/>
  <c r="C17" i="15"/>
  <c r="L63" i="15"/>
  <c r="M62" i="15"/>
  <c r="D63" i="15" s="1"/>
  <c r="E63" i="15" s="1"/>
  <c r="M73" i="15"/>
  <c r="L74" i="15"/>
  <c r="L37" i="15"/>
  <c r="M36" i="15"/>
  <c r="D37" i="15" s="1"/>
  <c r="E37" i="15" s="1"/>
  <c r="F74" i="1" s="1"/>
  <c r="L88" i="15"/>
  <c r="M87" i="15"/>
  <c r="D88" i="15" s="1"/>
  <c r="E88" i="15" s="1"/>
  <c r="F106" i="1" s="1"/>
  <c r="F90" i="1" l="1"/>
  <c r="F37" i="15"/>
  <c r="H37" i="15"/>
  <c r="I37" i="15"/>
  <c r="G37" i="15"/>
  <c r="H88" i="15"/>
  <c r="G88" i="15"/>
  <c r="F88" i="15"/>
  <c r="I88" i="15"/>
  <c r="H63" i="15"/>
  <c r="G63" i="15"/>
  <c r="F63" i="15"/>
  <c r="I63" i="15"/>
  <c r="G100" i="15"/>
  <c r="F100" i="15"/>
  <c r="I100" i="15"/>
  <c r="H100" i="15"/>
  <c r="L64" i="15"/>
  <c r="M63" i="15"/>
  <c r="L112" i="15"/>
  <c r="M111" i="15"/>
  <c r="M100" i="15"/>
  <c r="L101" i="15"/>
  <c r="L75" i="15"/>
  <c r="M74" i="15"/>
  <c r="C68" i="15"/>
  <c r="D112" i="15"/>
  <c r="E112" i="15" s="1"/>
  <c r="C42" i="15"/>
  <c r="L49" i="15"/>
  <c r="M48" i="15"/>
  <c r="M37" i="15"/>
  <c r="L38" i="15"/>
  <c r="M24" i="15"/>
  <c r="D25" i="15" s="1"/>
  <c r="E25" i="15" s="1"/>
  <c r="F66" i="1" s="1"/>
  <c r="L25" i="15"/>
  <c r="L89" i="15"/>
  <c r="M88" i="15"/>
  <c r="I25" i="15" l="1"/>
  <c r="H25" i="15"/>
  <c r="G25" i="15"/>
  <c r="F25" i="15"/>
  <c r="L90" i="15"/>
  <c r="M90" i="15" s="1"/>
  <c r="M89" i="15"/>
  <c r="D90" i="15" s="1"/>
  <c r="E90" i="15" s="1"/>
  <c r="L26" i="15"/>
  <c r="M25" i="15"/>
  <c r="L50" i="15"/>
  <c r="M49" i="15"/>
  <c r="D50" i="15" s="1"/>
  <c r="E50" i="15" s="1"/>
  <c r="F82" i="1" s="1"/>
  <c r="L102" i="15"/>
  <c r="M102" i="15" s="1"/>
  <c r="M101" i="15"/>
  <c r="D102" i="15" s="1"/>
  <c r="E102" i="15" s="1"/>
  <c r="L39" i="15"/>
  <c r="M39" i="15" s="1"/>
  <c r="M38" i="15"/>
  <c r="M75" i="15"/>
  <c r="D76" i="15" s="1"/>
  <c r="E76" i="15" s="1"/>
  <c r="L76" i="15"/>
  <c r="M112" i="15"/>
  <c r="L113" i="15"/>
  <c r="M64" i="15"/>
  <c r="L65" i="15"/>
  <c r="M65" i="15" s="1"/>
  <c r="F112" i="15"/>
  <c r="I112" i="15"/>
  <c r="H112" i="15"/>
  <c r="G112" i="15"/>
  <c r="D39" i="15" l="1"/>
  <c r="E39" i="15" s="1"/>
  <c r="G39" i="15" s="1"/>
  <c r="I76" i="15"/>
  <c r="H76" i="15"/>
  <c r="G76" i="15"/>
  <c r="F76" i="15"/>
  <c r="L51" i="15"/>
  <c r="M50" i="15"/>
  <c r="D65" i="15"/>
  <c r="E65" i="15" s="1"/>
  <c r="G50" i="15"/>
  <c r="I50" i="15"/>
  <c r="H50" i="15"/>
  <c r="F50" i="15"/>
  <c r="M26" i="15"/>
  <c r="L27" i="15"/>
  <c r="M27" i="15" s="1"/>
  <c r="L114" i="15"/>
  <c r="M114" i="15" s="1"/>
  <c r="M113" i="15"/>
  <c r="F102" i="15"/>
  <c r="I102" i="15"/>
  <c r="H102" i="15"/>
  <c r="G102" i="15"/>
  <c r="G90" i="15"/>
  <c r="F90" i="15"/>
  <c r="I90" i="15"/>
  <c r="H90" i="15"/>
  <c r="L77" i="15"/>
  <c r="M76" i="15"/>
  <c r="H39" i="15" l="1"/>
  <c r="I39" i="15"/>
  <c r="F39" i="15"/>
  <c r="D114" i="15"/>
  <c r="E114" i="15" s="1"/>
  <c r="F114" i="15" s="1"/>
  <c r="I114" i="15"/>
  <c r="H114" i="15"/>
  <c r="G114" i="15"/>
  <c r="I65" i="15"/>
  <c r="H65" i="15"/>
  <c r="G65" i="15"/>
  <c r="F65" i="15"/>
  <c r="L52" i="15"/>
  <c r="M52" i="15" s="1"/>
  <c r="M51" i="15"/>
  <c r="M77" i="15"/>
  <c r="L78" i="15"/>
  <c r="M78" i="15" s="1"/>
  <c r="D27" i="15"/>
  <c r="E27" i="15" s="1"/>
  <c r="D78" i="15" l="1"/>
  <c r="E78" i="15" s="1"/>
  <c r="D52" i="15"/>
  <c r="E52" i="15" s="1"/>
  <c r="H27" i="15"/>
  <c r="I27" i="15"/>
  <c r="G27" i="15"/>
  <c r="F27" i="15"/>
  <c r="G52" i="15" l="1"/>
  <c r="F52" i="15"/>
  <c r="H52" i="15"/>
  <c r="I52" i="15"/>
  <c r="H78" i="15"/>
  <c r="G78" i="15"/>
  <c r="F78" i="15"/>
  <c r="I78" i="15"/>
  <c r="E11" i="5" l="1"/>
  <c r="G64" i="1" l="1"/>
  <c r="G96" i="1" s="1"/>
  <c r="G65" i="1"/>
  <c r="G57" i="1" s="1"/>
  <c r="G66" i="1"/>
  <c r="G74" i="1" s="1"/>
  <c r="G63" i="1"/>
  <c r="G79" i="1" s="1"/>
  <c r="N47" i="1"/>
  <c r="N48" i="1"/>
  <c r="N49" i="1"/>
  <c r="N46" i="1"/>
  <c r="I107" i="1"/>
  <c r="I59" i="1"/>
  <c r="D53" i="1"/>
  <c r="E57" i="1" s="1"/>
  <c r="F57" i="1" s="1"/>
  <c r="J57" i="1" s="1"/>
  <c r="D101" i="1"/>
  <c r="E105" i="1" s="1"/>
  <c r="D93" i="1"/>
  <c r="E96" i="1" s="1"/>
  <c r="D85" i="1"/>
  <c r="E89" i="1" s="1"/>
  <c r="D77" i="1"/>
  <c r="E82" i="1" s="1"/>
  <c r="D69" i="1"/>
  <c r="E73" i="1" s="1"/>
  <c r="D61" i="1"/>
  <c r="E64" i="1" s="1"/>
  <c r="O47" i="1"/>
  <c r="P47" i="1"/>
  <c r="Q47" i="1"/>
  <c r="R47" i="1"/>
  <c r="S47" i="1"/>
  <c r="T47" i="1"/>
  <c r="O48" i="1"/>
  <c r="P48" i="1"/>
  <c r="Q48" i="1"/>
  <c r="R48" i="1"/>
  <c r="S48" i="1"/>
  <c r="T48" i="1"/>
  <c r="O49" i="1"/>
  <c r="P49" i="1"/>
  <c r="Q49" i="1"/>
  <c r="R49" i="1"/>
  <c r="S49" i="1"/>
  <c r="T49" i="1"/>
  <c r="U48" i="1"/>
  <c r="U50" i="1" s="1"/>
  <c r="T46" i="1"/>
  <c r="S46" i="1"/>
  <c r="S50" i="1" s="1"/>
  <c r="R46" i="1"/>
  <c r="R50" i="1" s="1"/>
  <c r="Q46" i="1"/>
  <c r="P46" i="1"/>
  <c r="O46" i="1"/>
  <c r="T45" i="1"/>
  <c r="S45" i="1"/>
  <c r="R45" i="1"/>
  <c r="Q45" i="1"/>
  <c r="P45" i="1"/>
  <c r="O45" i="1"/>
  <c r="E32" i="1"/>
  <c r="E31" i="1"/>
  <c r="C10" i="1"/>
  <c r="B8" i="1" s="1"/>
  <c r="I91" i="1"/>
  <c r="I99" i="1"/>
  <c r="I67" i="1"/>
  <c r="I75" i="1"/>
  <c r="I83" i="1"/>
  <c r="E17" i="1"/>
  <c r="E18" i="1"/>
  <c r="E19" i="1"/>
  <c r="E20" i="1"/>
  <c r="A15" i="2"/>
  <c r="F7" i="1"/>
  <c r="C34" i="1"/>
  <c r="E34" i="1" s="1"/>
  <c r="D14" i="4" s="1"/>
  <c r="F8" i="1"/>
  <c r="C36" i="1" s="1"/>
  <c r="E36" i="1" s="1"/>
  <c r="D15" i="4" s="1"/>
  <c r="E30" i="1"/>
  <c r="D13" i="4" s="1"/>
  <c r="A1" i="14"/>
  <c r="A2" i="14"/>
  <c r="G1" i="14"/>
  <c r="F9" i="1"/>
  <c r="D32" i="10"/>
  <c r="D36" i="10" s="1"/>
  <c r="D15" i="5"/>
  <c r="D16" i="5" s="1"/>
  <c r="B16" i="6"/>
  <c r="C16" i="6" s="1"/>
  <c r="D48" i="6" s="1"/>
  <c r="E22" i="1"/>
  <c r="C16" i="3"/>
  <c r="C20" i="3"/>
  <c r="C21" i="3"/>
  <c r="C23" i="3"/>
  <c r="D26" i="4"/>
  <c r="D36" i="5"/>
  <c r="J110" i="1"/>
  <c r="J111" i="1"/>
  <c r="J112" i="1"/>
  <c r="J113" i="1"/>
  <c r="E12" i="5"/>
  <c r="E13" i="5"/>
  <c r="E14" i="5"/>
  <c r="E10" i="5"/>
  <c r="K12" i="4"/>
  <c r="H31" i="4" s="1"/>
  <c r="B60" i="6"/>
  <c r="B63" i="6"/>
  <c r="C60" i="6"/>
  <c r="C63" i="6" s="1"/>
  <c r="C14" i="6"/>
  <c r="C64" i="6" s="1"/>
  <c r="E35" i="6"/>
  <c r="E37" i="6"/>
  <c r="C15" i="6"/>
  <c r="D38" i="6" s="1"/>
  <c r="E36" i="6"/>
  <c r="E38" i="6"/>
  <c r="E39" i="6"/>
  <c r="E40" i="6"/>
  <c r="E41" i="6"/>
  <c r="B29" i="6"/>
  <c r="E46" i="6" s="1"/>
  <c r="E49" i="6"/>
  <c r="E48" i="6"/>
  <c r="B12" i="2"/>
  <c r="F1" i="11"/>
  <c r="G1" i="12"/>
  <c r="A2" i="12"/>
  <c r="A1" i="12"/>
  <c r="A2" i="11"/>
  <c r="A1" i="11"/>
  <c r="D1" i="10"/>
  <c r="A2" i="10"/>
  <c r="A1" i="10"/>
  <c r="E19" i="11"/>
  <c r="E18" i="11"/>
  <c r="E12" i="11"/>
  <c r="I7" i="12"/>
  <c r="I8" i="12"/>
  <c r="I9" i="12"/>
  <c r="I10" i="12"/>
  <c r="C11" i="12"/>
  <c r="E11" i="12"/>
  <c r="G11" i="12"/>
  <c r="I15" i="12"/>
  <c r="I16" i="12"/>
  <c r="I17" i="12"/>
  <c r="I18" i="12"/>
  <c r="I19" i="12"/>
  <c r="C20" i="12"/>
  <c r="E20" i="12"/>
  <c r="G20" i="12"/>
  <c r="I23" i="12"/>
  <c r="I24" i="12"/>
  <c r="I25" i="12"/>
  <c r="I26" i="12"/>
  <c r="I27" i="12"/>
  <c r="C28" i="12"/>
  <c r="E28" i="12"/>
  <c r="G28" i="12"/>
  <c r="I33" i="12"/>
  <c r="I35" i="12"/>
  <c r="I36" i="12"/>
  <c r="I37" i="12"/>
  <c r="I40" i="12" s="1"/>
  <c r="I38" i="12"/>
  <c r="I39" i="12"/>
  <c r="C40" i="12"/>
  <c r="E40" i="12"/>
  <c r="G40" i="12"/>
  <c r="I43" i="12"/>
  <c r="I44" i="12"/>
  <c r="I45" i="12"/>
  <c r="I46" i="12"/>
  <c r="I47" i="12"/>
  <c r="C48" i="12"/>
  <c r="E48" i="12"/>
  <c r="G48" i="12"/>
  <c r="I52" i="12"/>
  <c r="I53" i="12"/>
  <c r="B11" i="2"/>
  <c r="A80" i="5"/>
  <c r="A8" i="2" s="1"/>
  <c r="A81" i="5"/>
  <c r="A9" i="2" s="1"/>
  <c r="A82" i="5"/>
  <c r="A10" i="2" s="1"/>
  <c r="A85" i="5"/>
  <c r="A13" i="2" s="1"/>
  <c r="A83" i="5"/>
  <c r="A84" i="5"/>
  <c r="A12" i="2" s="1"/>
  <c r="A86" i="5"/>
  <c r="A14" i="2"/>
  <c r="A40" i="6"/>
  <c r="A41" i="6"/>
  <c r="A39" i="6"/>
  <c r="M2" i="8"/>
  <c r="K2" i="4"/>
  <c r="D2" i="3"/>
  <c r="I2" i="1"/>
  <c r="E2" i="6"/>
  <c r="E2" i="5"/>
  <c r="A79" i="5"/>
  <c r="A7" i="2" s="1"/>
  <c r="H15" i="4"/>
  <c r="A2" i="8"/>
  <c r="A100" i="5"/>
  <c r="B1" i="1"/>
  <c r="A1" i="8" s="1"/>
  <c r="A1" i="5"/>
  <c r="A1" i="6" s="1"/>
  <c r="A1" i="3" s="1"/>
  <c r="A1" i="4" s="1"/>
  <c r="B33" i="2"/>
  <c r="B36" i="2"/>
  <c r="B2" i="1"/>
  <c r="A2" i="5" s="1"/>
  <c r="A2" i="6" s="1"/>
  <c r="A2" i="3" s="1"/>
  <c r="A2" i="4" s="1"/>
  <c r="E47" i="6"/>
  <c r="O50" i="1"/>
  <c r="Q50" i="1"/>
  <c r="F23" i="1"/>
  <c r="F5" i="1" s="1"/>
  <c r="E71" i="1"/>
  <c r="E103" i="1"/>
  <c r="E104" i="1"/>
  <c r="C18" i="3" l="1"/>
  <c r="E72" i="1"/>
  <c r="H64" i="1"/>
  <c r="J64" i="1" s="1"/>
  <c r="E106" i="1"/>
  <c r="E65" i="1"/>
  <c r="H65" i="1" s="1"/>
  <c r="J65" i="1" s="1"/>
  <c r="E63" i="1"/>
  <c r="H63" i="1" s="1"/>
  <c r="J63" i="1" s="1"/>
  <c r="E58" i="1"/>
  <c r="F58" i="1" s="1"/>
  <c r="E81" i="1"/>
  <c r="E55" i="1"/>
  <c r="F55" i="1" s="1"/>
  <c r="G50" i="12"/>
  <c r="E30" i="12"/>
  <c r="D46" i="6"/>
  <c r="E90" i="1"/>
  <c r="D37" i="6"/>
  <c r="E88" i="1"/>
  <c r="B7" i="1"/>
  <c r="E22" i="11"/>
  <c r="P50" i="1"/>
  <c r="V49" i="1"/>
  <c r="V47" i="1"/>
  <c r="D35" i="6"/>
  <c r="I48" i="12"/>
  <c r="C50" i="12"/>
  <c r="C21" i="1"/>
  <c r="C23" i="1" s="1"/>
  <c r="C39" i="1" s="1"/>
  <c r="E39" i="1" s="1"/>
  <c r="E87" i="1"/>
  <c r="I115" i="1"/>
  <c r="B9" i="1"/>
  <c r="B6" i="1"/>
  <c r="J58" i="1"/>
  <c r="G88" i="1"/>
  <c r="G97" i="1"/>
  <c r="G73" i="1"/>
  <c r="H73" i="1" s="1"/>
  <c r="J73" i="1" s="1"/>
  <c r="E80" i="1"/>
  <c r="E95" i="1"/>
  <c r="E79" i="1"/>
  <c r="H79" i="1" s="1"/>
  <c r="J79" i="1" s="1"/>
  <c r="B34" i="2"/>
  <c r="C34" i="2" s="1"/>
  <c r="E16" i="5"/>
  <c r="D19" i="4"/>
  <c r="C12" i="8" s="1"/>
  <c r="D12" i="8" s="1"/>
  <c r="E12" i="8" s="1"/>
  <c r="F12" i="8" s="1"/>
  <c r="G12" i="8" s="1"/>
  <c r="H12" i="8" s="1"/>
  <c r="I12" i="8" s="1"/>
  <c r="J12" i="8" s="1"/>
  <c r="K12" i="8" s="1"/>
  <c r="L12" i="8" s="1"/>
  <c r="M12" i="8" s="1"/>
  <c r="N12" i="8" s="1"/>
  <c r="O12" i="8" s="1"/>
  <c r="P12" i="8" s="1"/>
  <c r="Q12" i="8" s="1"/>
  <c r="R12" i="8" s="1"/>
  <c r="S12" i="8" s="1"/>
  <c r="T12" i="8" s="1"/>
  <c r="U12" i="8" s="1"/>
  <c r="V12" i="8" s="1"/>
  <c r="W12" i="8" s="1"/>
  <c r="X12" i="8" s="1"/>
  <c r="Y12" i="8" s="1"/>
  <c r="Z12" i="8" s="1"/>
  <c r="AA12" i="8" s="1"/>
  <c r="AB12" i="8" s="1"/>
  <c r="AC12" i="8" s="1"/>
  <c r="AD12" i="8" s="1"/>
  <c r="AE12" i="8" s="1"/>
  <c r="AF12" i="8" s="1"/>
  <c r="E5" i="1"/>
  <c r="B5" i="1"/>
  <c r="J114" i="1"/>
  <c r="D41" i="6"/>
  <c r="G30" i="12"/>
  <c r="T50" i="1"/>
  <c r="E97" i="1"/>
  <c r="E98" i="1"/>
  <c r="E66" i="1"/>
  <c r="H66" i="1" s="1"/>
  <c r="J66" i="1" s="1"/>
  <c r="V46" i="1"/>
  <c r="N50" i="1"/>
  <c r="G106" i="1"/>
  <c r="H106" i="1" s="1"/>
  <c r="J106" i="1" s="1"/>
  <c r="G90" i="1"/>
  <c r="G82" i="1"/>
  <c r="H82" i="1" s="1"/>
  <c r="J82" i="1" s="1"/>
  <c r="G104" i="1"/>
  <c r="H104" i="1" s="1"/>
  <c r="J104" i="1" s="1"/>
  <c r="G71" i="1"/>
  <c r="H71" i="1" s="1"/>
  <c r="G55" i="1"/>
  <c r="J55" i="1" s="1"/>
  <c r="G80" i="1"/>
  <c r="G87" i="1"/>
  <c r="G89" i="1"/>
  <c r="H89" i="1" s="1"/>
  <c r="J89" i="1" s="1"/>
  <c r="G95" i="1"/>
  <c r="G105" i="1"/>
  <c r="H105" i="1" s="1"/>
  <c r="J105" i="1" s="1"/>
  <c r="G81" i="1"/>
  <c r="G98" i="1"/>
  <c r="G103" i="1"/>
  <c r="H103" i="1" s="1"/>
  <c r="J103" i="1" s="1"/>
  <c r="G58" i="1"/>
  <c r="H96" i="1"/>
  <c r="J96" i="1" s="1"/>
  <c r="E56" i="1"/>
  <c r="F56" i="1" s="1"/>
  <c r="J56" i="1" s="1"/>
  <c r="E74" i="1"/>
  <c r="D17" i="4"/>
  <c r="C10" i="8" s="1"/>
  <c r="D10" i="8" s="1"/>
  <c r="E10" i="8" s="1"/>
  <c r="F10" i="8" s="1"/>
  <c r="G10" i="8" s="1"/>
  <c r="H10" i="8" s="1"/>
  <c r="I10" i="8" s="1"/>
  <c r="J10" i="8" s="1"/>
  <c r="K10" i="8" s="1"/>
  <c r="L10" i="8" s="1"/>
  <c r="M10" i="8" s="1"/>
  <c r="N10" i="8" s="1"/>
  <c r="O10" i="8" s="1"/>
  <c r="P10" i="8" s="1"/>
  <c r="Q10" i="8" s="1"/>
  <c r="R10" i="8" s="1"/>
  <c r="S10" i="8" s="1"/>
  <c r="T10" i="8" s="1"/>
  <c r="U10" i="8" s="1"/>
  <c r="V10" i="8" s="1"/>
  <c r="W10" i="8" s="1"/>
  <c r="X10" i="8" s="1"/>
  <c r="Y10" i="8" s="1"/>
  <c r="Z10" i="8" s="1"/>
  <c r="AA10" i="8" s="1"/>
  <c r="AB10" i="8" s="1"/>
  <c r="AC10" i="8" s="1"/>
  <c r="AD10" i="8" s="1"/>
  <c r="AE10" i="8" s="1"/>
  <c r="AF10" i="8" s="1"/>
  <c r="D18" i="4"/>
  <c r="C11" i="8" s="1"/>
  <c r="D11" i="8" s="1"/>
  <c r="E11" i="8" s="1"/>
  <c r="F11" i="8" s="1"/>
  <c r="G11" i="8" s="1"/>
  <c r="H11" i="8" s="1"/>
  <c r="I11" i="8" s="1"/>
  <c r="J11" i="8" s="1"/>
  <c r="K11" i="8" s="1"/>
  <c r="L11" i="8" s="1"/>
  <c r="M11" i="8" s="1"/>
  <c r="N11" i="8" s="1"/>
  <c r="O11" i="8" s="1"/>
  <c r="P11" i="8" s="1"/>
  <c r="Q11" i="8" s="1"/>
  <c r="R11" i="8" s="1"/>
  <c r="S11" i="8" s="1"/>
  <c r="T11" i="8" s="1"/>
  <c r="U11" i="8" s="1"/>
  <c r="V11" i="8" s="1"/>
  <c r="W11" i="8" s="1"/>
  <c r="X11" i="8" s="1"/>
  <c r="Y11" i="8" s="1"/>
  <c r="Z11" i="8" s="1"/>
  <c r="AA11" i="8" s="1"/>
  <c r="AB11" i="8" s="1"/>
  <c r="AC11" i="8" s="1"/>
  <c r="AD11" i="8" s="1"/>
  <c r="AE11" i="8" s="1"/>
  <c r="AF11" i="8" s="1"/>
  <c r="I20" i="12"/>
  <c r="D49" i="6"/>
  <c r="D40" i="6"/>
  <c r="D39" i="6"/>
  <c r="C30" i="12"/>
  <c r="I28" i="12"/>
  <c r="D36" i="6"/>
  <c r="D47" i="6"/>
  <c r="E21" i="1"/>
  <c r="E23" i="1" s="1"/>
  <c r="D6" i="3" s="1"/>
  <c r="E50" i="12"/>
  <c r="I11" i="12"/>
  <c r="V48" i="1"/>
  <c r="G56" i="1"/>
  <c r="G72" i="1"/>
  <c r="H72" i="1" s="1"/>
  <c r="J72" i="1" s="1"/>
  <c r="B64" i="6"/>
  <c r="C25" i="2" l="1"/>
  <c r="B26" i="4"/>
  <c r="I1" i="12"/>
  <c r="C11" i="2"/>
  <c r="D5" i="3"/>
  <c r="C30" i="3" s="1"/>
  <c r="E1" i="10"/>
  <c r="J71" i="1"/>
  <c r="H95" i="1"/>
  <c r="J95" i="1" s="1"/>
  <c r="H81" i="1"/>
  <c r="J81" i="1" s="1"/>
  <c r="H74" i="1"/>
  <c r="J74" i="1" s="1"/>
  <c r="H88" i="1"/>
  <c r="J88" i="1" s="1"/>
  <c r="H87" i="1"/>
  <c r="J87" i="1" s="1"/>
  <c r="C36" i="2"/>
  <c r="F2" i="6"/>
  <c r="F2" i="5"/>
  <c r="L2" i="4"/>
  <c r="C12" i="2"/>
  <c r="H90" i="1"/>
  <c r="J90" i="1" s="1"/>
  <c r="C14" i="2"/>
  <c r="K30" i="4"/>
  <c r="I24" i="4" s="1"/>
  <c r="J30" i="4"/>
  <c r="I23" i="4" s="1"/>
  <c r="C33" i="2"/>
  <c r="G1" i="11"/>
  <c r="I1" i="14"/>
  <c r="I30" i="4"/>
  <c r="D92" i="5" s="1"/>
  <c r="C21" i="2" s="1"/>
  <c r="F24" i="1"/>
  <c r="C27" i="2"/>
  <c r="E2" i="3"/>
  <c r="D18" i="3" s="1"/>
  <c r="J2" i="1"/>
  <c r="D66" i="5"/>
  <c r="D69" i="5" s="1"/>
  <c r="D2" i="2"/>
  <c r="N2" i="8"/>
  <c r="B16" i="5"/>
  <c r="I50" i="12"/>
  <c r="I22" i="4"/>
  <c r="B10" i="5"/>
  <c r="H80" i="1"/>
  <c r="J80" i="1" s="1"/>
  <c r="J59" i="1"/>
  <c r="H98" i="1"/>
  <c r="J98" i="1" s="1"/>
  <c r="H97" i="1"/>
  <c r="J97" i="1" s="1"/>
  <c r="I36" i="4"/>
  <c r="I34" i="4" s="1"/>
  <c r="I33" i="4" s="1"/>
  <c r="D16" i="4"/>
  <c r="E41" i="1"/>
  <c r="J67" i="1"/>
  <c r="J107" i="1"/>
  <c r="V50" i="1"/>
  <c r="W48" i="1" s="1"/>
  <c r="C17" i="3"/>
  <c r="C9" i="3"/>
  <c r="C12" i="3"/>
  <c r="C10" i="3"/>
  <c r="C25" i="3"/>
  <c r="I30" i="12"/>
  <c r="D80" i="5" l="1"/>
  <c r="B8" i="2" s="1"/>
  <c r="C8" i="2" s="1"/>
  <c r="C14" i="3"/>
  <c r="C29" i="3"/>
  <c r="D27" i="4" s="1"/>
  <c r="C26" i="3"/>
  <c r="C13" i="3"/>
  <c r="J36" i="4"/>
  <c r="J34" i="4" s="1"/>
  <c r="J33" i="4" s="1"/>
  <c r="C15" i="3"/>
  <c r="D93" i="5"/>
  <c r="D81" i="5" s="1"/>
  <c r="J83" i="1"/>
  <c r="J75" i="1"/>
  <c r="J91" i="1"/>
  <c r="K36" i="4"/>
  <c r="K34" i="4" s="1"/>
  <c r="K35" i="4" s="1"/>
  <c r="I35" i="4"/>
  <c r="I25" i="4"/>
  <c r="J99" i="1"/>
  <c r="D20" i="4"/>
  <c r="D21" i="4" s="1"/>
  <c r="B48" i="6"/>
  <c r="F48" i="6" s="1"/>
  <c r="B39" i="6"/>
  <c r="F39" i="6" s="1"/>
  <c r="B27" i="4"/>
  <c r="C19" i="8"/>
  <c r="D19" i="8" s="1"/>
  <c r="E19" i="8" s="1"/>
  <c r="F19" i="8" s="1"/>
  <c r="G19" i="8" s="1"/>
  <c r="H19" i="8" s="1"/>
  <c r="I19" i="8" s="1"/>
  <c r="J19" i="8" s="1"/>
  <c r="K19" i="8" s="1"/>
  <c r="L19" i="8" s="1"/>
  <c r="M19" i="8" s="1"/>
  <c r="N19" i="8" s="1"/>
  <c r="O19" i="8" s="1"/>
  <c r="P19" i="8" s="1"/>
  <c r="Q19" i="8" s="1"/>
  <c r="R19" i="8" s="1"/>
  <c r="S19" i="8" s="1"/>
  <c r="T19" i="8" s="1"/>
  <c r="U19" i="8" s="1"/>
  <c r="V19" i="8" s="1"/>
  <c r="W19" i="8" s="1"/>
  <c r="X19" i="8" s="1"/>
  <c r="Y19" i="8" s="1"/>
  <c r="Z19" i="8" s="1"/>
  <c r="AA19" i="8" s="1"/>
  <c r="AB19" i="8" s="1"/>
  <c r="AC19" i="8" s="1"/>
  <c r="AD19" i="8" s="1"/>
  <c r="AE19" i="8" s="1"/>
  <c r="AF19" i="8" s="1"/>
  <c r="W49" i="1"/>
  <c r="R51" i="1"/>
  <c r="U51" i="1"/>
  <c r="N51" i="1"/>
  <c r="P51" i="1"/>
  <c r="T51" i="1"/>
  <c r="Q51" i="1"/>
  <c r="W47" i="1"/>
  <c r="O51" i="1"/>
  <c r="W46" i="1"/>
  <c r="S51" i="1"/>
  <c r="J35" i="4" l="1"/>
  <c r="C22" i="2"/>
  <c r="J117" i="1"/>
  <c r="J119" i="1" s="1"/>
  <c r="F41" i="1" s="1"/>
  <c r="K33" i="4"/>
  <c r="C13" i="8"/>
  <c r="D13" i="8" s="1"/>
  <c r="E13" i="8" s="1"/>
  <c r="F13" i="8" s="1"/>
  <c r="G13" i="8" s="1"/>
  <c r="H13" i="8" s="1"/>
  <c r="I13" i="8" s="1"/>
  <c r="J13" i="8" s="1"/>
  <c r="K13" i="8" s="1"/>
  <c r="L13" i="8" s="1"/>
  <c r="M13" i="8" s="1"/>
  <c r="N13" i="8" s="1"/>
  <c r="O13" i="8" s="1"/>
  <c r="P13" i="8" s="1"/>
  <c r="Q13" i="8" s="1"/>
  <c r="R13" i="8" s="1"/>
  <c r="S13" i="8" s="1"/>
  <c r="T13" i="8" s="1"/>
  <c r="U13" i="8" s="1"/>
  <c r="V13" i="8" s="1"/>
  <c r="W13" i="8" s="1"/>
  <c r="X13" i="8" s="1"/>
  <c r="Y13" i="8" s="1"/>
  <c r="Z13" i="8" s="1"/>
  <c r="AA13" i="8" s="1"/>
  <c r="AB13" i="8" s="1"/>
  <c r="AC13" i="8" s="1"/>
  <c r="AD13" i="8" s="1"/>
  <c r="AE13" i="8" s="1"/>
  <c r="AF13" i="8" s="1"/>
  <c r="B40" i="6"/>
  <c r="F40" i="6" s="1"/>
  <c r="B9" i="2"/>
  <c r="C9" i="2" s="1"/>
  <c r="B49" i="6"/>
  <c r="F49" i="6" s="1"/>
  <c r="D9" i="4" l="1"/>
  <c r="D10" i="4" s="1"/>
  <c r="D11" i="4" s="1"/>
  <c r="D22" i="4" s="1"/>
  <c r="C24" i="3" l="1"/>
  <c r="C32" i="3" s="1"/>
  <c r="D25" i="4" s="1"/>
  <c r="C17" i="8" s="1"/>
  <c r="C9" i="8"/>
  <c r="C14" i="8" s="1"/>
  <c r="D9" i="8" l="1"/>
  <c r="D14" i="8" s="1"/>
  <c r="C18" i="8"/>
  <c r="D18" i="8" s="1"/>
  <c r="E18" i="8" s="1"/>
  <c r="F18" i="8" s="1"/>
  <c r="G18" i="8" s="1"/>
  <c r="H18" i="8" s="1"/>
  <c r="I18" i="8" s="1"/>
  <c r="J18" i="8" s="1"/>
  <c r="K18" i="8" s="1"/>
  <c r="L18" i="8" s="1"/>
  <c r="M18" i="8" s="1"/>
  <c r="N18" i="8" s="1"/>
  <c r="O18" i="8" s="1"/>
  <c r="P18" i="8" s="1"/>
  <c r="Q18" i="8" s="1"/>
  <c r="R18" i="8" s="1"/>
  <c r="S18" i="8" s="1"/>
  <c r="T18" i="8" s="1"/>
  <c r="U18" i="8" s="1"/>
  <c r="V18" i="8" s="1"/>
  <c r="W18" i="8" s="1"/>
  <c r="X18" i="8" s="1"/>
  <c r="Y18" i="8" s="1"/>
  <c r="Z18" i="8" s="1"/>
  <c r="AA18" i="8" s="1"/>
  <c r="AB18" i="8" s="1"/>
  <c r="AC18" i="8" s="1"/>
  <c r="AD18" i="8" s="1"/>
  <c r="AE18" i="8" s="1"/>
  <c r="AF18" i="8" s="1"/>
  <c r="D33" i="3"/>
  <c r="C38" i="3"/>
  <c r="C39" i="3" s="1"/>
  <c r="D34" i="3"/>
  <c r="D28" i="4"/>
  <c r="B25" i="4"/>
  <c r="B28" i="4" s="1"/>
  <c r="E9" i="8" l="1"/>
  <c r="E14" i="8" s="1"/>
  <c r="C40" i="3"/>
  <c r="D17" i="8"/>
  <c r="C20" i="8"/>
  <c r="C22" i="8" s="1"/>
  <c r="D34" i="4"/>
  <c r="D31" i="4"/>
  <c r="F9" i="8" l="1"/>
  <c r="F14" i="8" s="1"/>
  <c r="K37" i="4"/>
  <c r="D39" i="4"/>
  <c r="D40" i="4" s="1"/>
  <c r="D36" i="4"/>
  <c r="D20" i="8"/>
  <c r="D22" i="8" s="1"/>
  <c r="E17" i="8"/>
  <c r="G9" i="8" l="1"/>
  <c r="G14" i="8" s="1"/>
  <c r="H30" i="4"/>
  <c r="D37" i="4"/>
  <c r="F17" i="8"/>
  <c r="E20" i="8"/>
  <c r="E22" i="8" s="1"/>
  <c r="H9" i="8" l="1"/>
  <c r="H14" i="8" s="1"/>
  <c r="F20" i="8"/>
  <c r="F22" i="8" s="1"/>
  <c r="G17" i="8"/>
  <c r="D91" i="5"/>
  <c r="H35" i="4"/>
  <c r="L30" i="4"/>
  <c r="H36" i="4"/>
  <c r="H33" i="4"/>
  <c r="I9" i="8" l="1"/>
  <c r="J9" i="8" s="1"/>
  <c r="G20" i="8"/>
  <c r="G22" i="8" s="1"/>
  <c r="H17" i="8"/>
  <c r="L36" i="4"/>
  <c r="H37" i="4"/>
  <c r="I37" i="4"/>
  <c r="J37" i="4"/>
  <c r="D100" i="5"/>
  <c r="B8" i="6"/>
  <c r="B20" i="2"/>
  <c r="I14" i="8" l="1"/>
  <c r="B37" i="6"/>
  <c r="F37" i="6" s="1"/>
  <c r="B38" i="6"/>
  <c r="F38" i="6" s="1"/>
  <c r="C61" i="6"/>
  <c r="C65" i="6" s="1"/>
  <c r="H20" i="8"/>
  <c r="H22" i="8" s="1"/>
  <c r="I17" i="8"/>
  <c r="J14" i="8"/>
  <c r="K9" i="8"/>
  <c r="B30" i="2"/>
  <c r="C20" i="2"/>
  <c r="C24" i="8"/>
  <c r="L37" i="4"/>
  <c r="D24" i="8" l="1"/>
  <c r="C26" i="8"/>
  <c r="C28" i="8" s="1"/>
  <c r="D96" i="5" s="1"/>
  <c r="I20" i="8"/>
  <c r="I22" i="8" s="1"/>
  <c r="J17" i="8"/>
  <c r="L9" i="8"/>
  <c r="K14" i="8"/>
  <c r="D27" i="2"/>
  <c r="B38" i="2"/>
  <c r="C30" i="2"/>
  <c r="D22" i="2"/>
  <c r="D25" i="2"/>
  <c r="D21" i="2"/>
  <c r="D20" i="2"/>
  <c r="D30" i="2" s="1"/>
  <c r="J20" i="8" l="1"/>
  <c r="J22" i="8" s="1"/>
  <c r="K17" i="8"/>
  <c r="D34" i="2"/>
  <c r="B35" i="2"/>
  <c r="C38" i="2"/>
  <c r="D33" i="2"/>
  <c r="D38" i="2" s="1"/>
  <c r="D36" i="2"/>
  <c r="L14" i="8"/>
  <c r="M9" i="8"/>
  <c r="E24" i="8"/>
  <c r="D26" i="8"/>
  <c r="F24" i="8" l="1"/>
  <c r="E26" i="8"/>
  <c r="C13" i="2"/>
  <c r="M14" i="8"/>
  <c r="N9" i="8"/>
  <c r="C26" i="2"/>
  <c r="D26" i="2"/>
  <c r="L17" i="8"/>
  <c r="K20" i="8"/>
  <c r="K22" i="8" s="1"/>
  <c r="D35" i="2"/>
  <c r="C35" i="2"/>
  <c r="O9" i="8" l="1"/>
  <c r="N14" i="8"/>
  <c r="L20" i="8"/>
  <c r="L22" i="8" s="1"/>
  <c r="M17" i="8"/>
  <c r="G24" i="8"/>
  <c r="F26" i="8"/>
  <c r="H24" i="8" l="1"/>
  <c r="G26" i="8"/>
  <c r="P9" i="8"/>
  <c r="O14" i="8"/>
  <c r="N17" i="8"/>
  <c r="M20" i="8"/>
  <c r="M22" i="8" s="1"/>
  <c r="N20" i="8" l="1"/>
  <c r="N22" i="8" s="1"/>
  <c r="O17" i="8"/>
  <c r="I24" i="8"/>
  <c r="H26" i="8"/>
  <c r="Q9" i="8"/>
  <c r="P14" i="8"/>
  <c r="P17" i="8" l="1"/>
  <c r="O20" i="8"/>
  <c r="O22" i="8" s="1"/>
  <c r="Q14" i="8"/>
  <c r="R9" i="8"/>
  <c r="J24" i="8"/>
  <c r="I26" i="8"/>
  <c r="K24" i="8" l="1"/>
  <c r="J26" i="8"/>
  <c r="R14" i="8"/>
  <c r="S9" i="8"/>
  <c r="P20" i="8"/>
  <c r="P22" i="8" s="1"/>
  <c r="Q17" i="8"/>
  <c r="S14" i="8" l="1"/>
  <c r="T9" i="8"/>
  <c r="R17" i="8"/>
  <c r="Q20" i="8"/>
  <c r="Q22" i="8" s="1"/>
  <c r="L24" i="8"/>
  <c r="K26" i="8"/>
  <c r="U9" i="8" l="1"/>
  <c r="T14" i="8"/>
  <c r="R20" i="8"/>
  <c r="R22" i="8" s="1"/>
  <c r="S17" i="8"/>
  <c r="M24" i="8"/>
  <c r="L26" i="8"/>
  <c r="N24" i="8" l="1"/>
  <c r="M26" i="8"/>
  <c r="T17" i="8"/>
  <c r="S20" i="8"/>
  <c r="S22" i="8" s="1"/>
  <c r="V9" i="8"/>
  <c r="U14" i="8"/>
  <c r="O24" i="8" l="1"/>
  <c r="N26" i="8"/>
  <c r="V14" i="8"/>
  <c r="W9" i="8"/>
  <c r="T20" i="8"/>
  <c r="T22" i="8" s="1"/>
  <c r="U17" i="8"/>
  <c r="V17" i="8" l="1"/>
  <c r="U20" i="8"/>
  <c r="U22" i="8" s="1"/>
  <c r="P24" i="8"/>
  <c r="O26" i="8"/>
  <c r="W14" i="8"/>
  <c r="X9" i="8"/>
  <c r="X14" i="8" l="1"/>
  <c r="Y9" i="8"/>
  <c r="V20" i="8"/>
  <c r="V22" i="8" s="1"/>
  <c r="W17" i="8"/>
  <c r="Q24" i="8"/>
  <c r="P26" i="8"/>
  <c r="R24" i="8" l="1"/>
  <c r="Q26" i="8"/>
  <c r="W20" i="8"/>
  <c r="W22" i="8" s="1"/>
  <c r="X17" i="8"/>
  <c r="Y14" i="8"/>
  <c r="Z9" i="8"/>
  <c r="Y17" i="8" l="1"/>
  <c r="X20" i="8"/>
  <c r="X22" i="8" s="1"/>
  <c r="AA9" i="8"/>
  <c r="Z14" i="8"/>
  <c r="S24" i="8"/>
  <c r="R26" i="8"/>
  <c r="AB9" i="8" l="1"/>
  <c r="AA14" i="8"/>
  <c r="T24" i="8"/>
  <c r="S26" i="8"/>
  <c r="Y20" i="8"/>
  <c r="Y22" i="8" s="1"/>
  <c r="Z17" i="8"/>
  <c r="Z20" i="8" l="1"/>
  <c r="Z22" i="8" s="1"/>
  <c r="AA17" i="8"/>
  <c r="U24" i="8"/>
  <c r="T26" i="8"/>
  <c r="AC9" i="8"/>
  <c r="AB14" i="8"/>
  <c r="V24" i="8" l="1"/>
  <c r="U26" i="8"/>
  <c r="AC14" i="8"/>
  <c r="AD9" i="8"/>
  <c r="AA20" i="8"/>
  <c r="AA22" i="8" s="1"/>
  <c r="AB17" i="8"/>
  <c r="AB20" i="8" l="1"/>
  <c r="AB22" i="8" s="1"/>
  <c r="AC17" i="8"/>
  <c r="AE9" i="8"/>
  <c r="AD14" i="8"/>
  <c r="W24" i="8"/>
  <c r="V26" i="8"/>
  <c r="AD17" i="8" l="1"/>
  <c r="AC20" i="8"/>
  <c r="AC22" i="8" s="1"/>
  <c r="X24" i="8"/>
  <c r="W26" i="8"/>
  <c r="AE14" i="8"/>
  <c r="AF9" i="8"/>
  <c r="AF14" i="8" s="1"/>
  <c r="Y24" i="8" l="1"/>
  <c r="X26" i="8"/>
  <c r="AE17" i="8"/>
  <c r="AD20" i="8"/>
  <c r="AD22" i="8" s="1"/>
  <c r="Z24" i="8" l="1"/>
  <c r="Y26" i="8"/>
  <c r="AE20" i="8"/>
  <c r="AE22" i="8" s="1"/>
  <c r="AF17" i="8"/>
  <c r="AF20" i="8" s="1"/>
  <c r="AF22" i="8" s="1"/>
  <c r="AA24" i="8" l="1"/>
  <c r="Z26" i="8"/>
  <c r="AB24" i="8" l="1"/>
  <c r="AA26" i="8"/>
  <c r="AC24" i="8" l="1"/>
  <c r="AB26" i="8"/>
  <c r="AD24" i="8" l="1"/>
  <c r="AC26" i="8"/>
  <c r="AE24" i="8" l="1"/>
  <c r="AD26" i="8"/>
  <c r="AF24" i="8" l="1"/>
  <c r="AF26" i="8" s="1"/>
  <c r="AE26" i="8"/>
  <c r="F6" i="1"/>
  <c r="F10" i="1"/>
  <c r="I49" i="5"/>
  <c r="I71" i="5" s="1"/>
  <c r="I76" i="5" s="1"/>
  <c r="I99" i="5" l="1"/>
  <c r="I100" i="5" s="1"/>
  <c r="J49" i="5"/>
  <c r="J71" i="5" s="1"/>
  <c r="J76" i="5" s="1"/>
  <c r="J99" i="5" l="1"/>
  <c r="J100" i="5" s="1"/>
  <c r="K49" i="5"/>
  <c r="K71" i="5" s="1"/>
  <c r="K76" i="5" s="1"/>
  <c r="K99" i="5" l="1"/>
  <c r="K100" i="5" s="1"/>
  <c r="L49" i="5"/>
  <c r="L71" i="5"/>
  <c r="L76" i="5" s="1"/>
  <c r="L99" i="5" l="1"/>
  <c r="L100" i="5" s="1"/>
  <c r="M49" i="5"/>
  <c r="M71" i="5"/>
  <c r="M76" i="5" s="1"/>
  <c r="M99" i="5" l="1"/>
  <c r="M100" i="5" s="1"/>
  <c r="I87" i="5"/>
  <c r="I88" i="5"/>
  <c r="J87" i="5"/>
  <c r="J88" i="5"/>
  <c r="K87" i="5"/>
  <c r="K88" i="5"/>
  <c r="L87" i="5"/>
  <c r="L88" i="5"/>
  <c r="M87" i="5"/>
  <c r="M88" i="5"/>
  <c r="C8" i="6"/>
  <c r="B10" i="6"/>
  <c r="B9" i="6" s="1"/>
  <c r="D41" i="5"/>
  <c r="D42" i="5"/>
  <c r="D43" i="5"/>
  <c r="B7" i="2"/>
  <c r="C7" i="2" s="1"/>
  <c r="B46" i="6" l="1"/>
  <c r="F46" i="6" s="1"/>
  <c r="C9" i="6"/>
  <c r="B36" i="6"/>
  <c r="F36" i="6" s="1"/>
  <c r="B35" i="6"/>
  <c r="F35" i="6" s="1"/>
  <c r="F42" i="6" s="1"/>
  <c r="D52" i="5" s="1"/>
  <c r="D62" i="5" s="1"/>
  <c r="B61" i="6"/>
  <c r="B65" i="6" s="1"/>
  <c r="B67" i="6" s="1"/>
  <c r="D53" i="5" s="1"/>
  <c r="C72" i="6"/>
  <c r="B47" i="6"/>
  <c r="F47" i="6" s="1"/>
  <c r="F50" i="6" s="1"/>
  <c r="C73" i="6" l="1"/>
  <c r="C74" i="6"/>
  <c r="D39" i="5" l="1"/>
  <c r="D40" i="5"/>
  <c r="D49" i="5" l="1"/>
  <c r="D71" i="5" s="1"/>
  <c r="E68" i="5" l="1"/>
  <c r="D76" i="5"/>
  <c r="E81" i="5" l="1"/>
  <c r="E86" i="5"/>
  <c r="E92" i="5"/>
  <c r="E97" i="5"/>
  <c r="E93" i="5"/>
  <c r="E98" i="5"/>
  <c r="E73" i="5"/>
  <c r="D99" i="5"/>
  <c r="E96" i="5"/>
  <c r="E83" i="5"/>
  <c r="E80" i="5"/>
  <c r="E91" i="5"/>
  <c r="E100" i="5" s="1"/>
  <c r="E79" i="5"/>
  <c r="E88" i="5" s="1"/>
  <c r="E84" i="5"/>
  <c r="E95" i="5"/>
  <c r="E85" i="5"/>
  <c r="C23" i="2"/>
  <c r="D23" i="2"/>
  <c r="E99" i="5" l="1"/>
  <c r="B28" i="2"/>
  <c r="C28" i="2" l="1"/>
  <c r="D28" i="2"/>
  <c r="B41" i="6"/>
  <c r="F41" i="6"/>
  <c r="D82" i="5"/>
  <c r="E82" i="5"/>
  <c r="D87" i="5"/>
  <c r="E87" i="5"/>
  <c r="D88" i="5"/>
  <c r="E94" i="5"/>
  <c r="D95" i="5"/>
  <c r="D7" i="2"/>
  <c r="D8" i="2"/>
  <c r="D9" i="2"/>
  <c r="B10" i="2"/>
  <c r="C10" i="2"/>
  <c r="D10" i="2"/>
  <c r="D11" i="2"/>
  <c r="D12" i="2"/>
  <c r="D13" i="2"/>
  <c r="D14" i="2"/>
  <c r="B15" i="2"/>
  <c r="C15" i="2"/>
  <c r="D15" i="2"/>
  <c r="B17" i="2"/>
  <c r="C17" i="2"/>
  <c r="D17" i="2"/>
  <c r="B24" i="2"/>
  <c r="C24" i="2"/>
  <c r="D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NYC</author>
  </authors>
  <commentList>
    <comment ref="H28" authorId="0" shapeId="0" xr:uid="{00000000-0006-0000-0600-000001000000}">
      <text>
        <r>
          <rPr>
            <b/>
            <sz val="8"/>
            <color indexed="81"/>
            <rFont val="Tahoma"/>
            <family val="2"/>
          </rPr>
          <t>NYC:</t>
        </r>
        <r>
          <rPr>
            <sz val="8"/>
            <color indexed="81"/>
            <rFont val="Tahoma"/>
            <family val="2"/>
          </rPr>
          <t xml:space="preserve">
If I:E ratio or 1st mort DSCR is more restrictive than combined DSCR, then you need to reduce 1st mort here</t>
        </r>
      </text>
    </comment>
  </commentList>
</comments>
</file>

<file path=xl/sharedStrings.xml><?xml version="1.0" encoding="utf-8"?>
<sst xmlns="http://schemas.openxmlformats.org/spreadsheetml/2006/main" count="1202" uniqueCount="546">
  <si>
    <t>MIMI RFEI</t>
  </si>
  <si>
    <t xml:space="preserve">Form E-1_Rental Financing Submission Template </t>
  </si>
  <si>
    <t>Instructions</t>
  </si>
  <si>
    <t>Please complete this pro forma for the rental component of your project. Fill in the cells shaded blue. Keep cells linked and maintain calculations. If you modify given assumptions, please clearly note the changes.</t>
  </si>
  <si>
    <t>If a multi-phase project is proposed, please submit a separate underwriting (Form E-1) for each transaction/closing. For a single closing involving multiple buildings, all such buildings may be grouped into one underwriting.</t>
  </si>
  <si>
    <t xml:space="preserve">Project Name: </t>
  </si>
  <si>
    <t>Site:</t>
  </si>
  <si>
    <t>Units:</t>
  </si>
  <si>
    <t>SOURCES AND USES</t>
  </si>
  <si>
    <t>Construction Sources</t>
  </si>
  <si>
    <t>per DU</t>
  </si>
  <si>
    <t>% of total</t>
  </si>
  <si>
    <t xml:space="preserve"> </t>
  </si>
  <si>
    <t xml:space="preserve">         TOTAL SOURCES</t>
  </si>
  <si>
    <t>Permanent Sources</t>
  </si>
  <si>
    <t>Uses</t>
  </si>
  <si>
    <t xml:space="preserve">     Acquisition Cost</t>
  </si>
  <si>
    <t xml:space="preserve">     Construction Cost</t>
  </si>
  <si>
    <t xml:space="preserve">     Soft Cost</t>
  </si>
  <si>
    <t xml:space="preserve">     Developer's Fee</t>
  </si>
  <si>
    <t xml:space="preserve">          TOTAL USES</t>
  </si>
  <si>
    <t>DEVELOPMENT BUDGET BREAKDOWN</t>
  </si>
  <si>
    <t>DEVELOPMENT BUDGET</t>
  </si>
  <si>
    <t>Developer Costs</t>
  </si>
  <si>
    <t>Market</t>
  </si>
  <si>
    <t>Affordable</t>
  </si>
  <si>
    <t xml:space="preserve">Commercial </t>
  </si>
  <si>
    <t>Community</t>
  </si>
  <si>
    <t>Parking</t>
  </si>
  <si>
    <t>Acquisition Cost</t>
  </si>
  <si>
    <t>Construction Cost</t>
  </si>
  <si>
    <t xml:space="preserve">Contractor Price </t>
  </si>
  <si>
    <t>Residential</t>
  </si>
  <si>
    <t>/du</t>
  </si>
  <si>
    <t>psf</t>
  </si>
  <si>
    <t xml:space="preserve">  </t>
  </si>
  <si>
    <t>Accessory Tenant Common Areas</t>
  </si>
  <si>
    <t>Commercial Space</t>
  </si>
  <si>
    <t>Community Space</t>
  </si>
  <si>
    <t>Contingency</t>
  </si>
  <si>
    <t>Total Hard Cost</t>
  </si>
  <si>
    <t>average per sf</t>
  </si>
  <si>
    <t>Soft Cost</t>
  </si>
  <si>
    <t>Borrower's Legal</t>
  </si>
  <si>
    <t>Borrower's Engineer/Architect Fees</t>
  </si>
  <si>
    <t>Accounting &amp; Cost Certification</t>
  </si>
  <si>
    <t>Housing/Development Consultant</t>
  </si>
  <si>
    <t>Bank's Engineer</t>
  </si>
  <si>
    <t>Bank Legal</t>
  </si>
  <si>
    <t>Permits and expediting</t>
  </si>
  <si>
    <t>Environmental Phase I &amp; II</t>
  </si>
  <si>
    <t>CEQR</t>
  </si>
  <si>
    <t>Borings</t>
  </si>
  <si>
    <t>Survey</t>
  </si>
  <si>
    <t>Geotechnical</t>
  </si>
  <si>
    <t>Title Insurance</t>
  </si>
  <si>
    <t xml:space="preserve">Appraisal </t>
  </si>
  <si>
    <t>Other (Specify:_________________)</t>
  </si>
  <si>
    <t>Subtotal</t>
  </si>
  <si>
    <t>Financing Fees (Please maintain links to original calculations and note any changes)</t>
  </si>
  <si>
    <t>Upfront L/C Fee</t>
  </si>
  <si>
    <t>of LOC amt</t>
  </si>
  <si>
    <t>Annual L/C Fee</t>
  </si>
  <si>
    <t xml:space="preserve">of LOC amt </t>
  </si>
  <si>
    <t>HDC Fee (if applicable)</t>
  </si>
  <si>
    <t>of HDC cons 1st</t>
  </si>
  <si>
    <t>NY State Bond Issuance Charge (if applicable)</t>
  </si>
  <si>
    <t>Costs of Issuance</t>
  </si>
  <si>
    <t>HPD Fee (if applicable)</t>
  </si>
  <si>
    <t>Interest Rate Cap (estimate)</t>
  </si>
  <si>
    <t>Tax Exemption/Abatement Fees &amp; Consultant</t>
  </si>
  <si>
    <t>Non Profit Sponsor</t>
  </si>
  <si>
    <t xml:space="preserve">Carrying Costs </t>
  </si>
  <si>
    <t>Construction Interest</t>
  </si>
  <si>
    <t>(change link if assuming variable rate)</t>
  </si>
  <si>
    <t>Negative Arbitrage</t>
  </si>
  <si>
    <t>Mortgage Recorting Tax</t>
  </si>
  <si>
    <t>Water/Sewer &amp; Real Estate Taxes</t>
  </si>
  <si>
    <t>Utilities</t>
  </si>
  <si>
    <t>Insurance</t>
  </si>
  <si>
    <t>Construction Monitor</t>
  </si>
  <si>
    <t>Marketing</t>
  </si>
  <si>
    <t>Security</t>
  </si>
  <si>
    <t>Reserves and Contingency</t>
  </si>
  <si>
    <t>Social Service Reserve</t>
  </si>
  <si>
    <t>Capitalized Operating Reserve</t>
  </si>
  <si>
    <t>/unit</t>
  </si>
  <si>
    <t>Additional Operating Reserve (if applicable)</t>
  </si>
  <si>
    <t>Soft Cost Contingency</t>
  </si>
  <si>
    <t>of soft costs</t>
  </si>
  <si>
    <t>Total Soft Costs</t>
  </si>
  <si>
    <t>Developer's Fee</t>
  </si>
  <si>
    <t>of TDC less Dev Fee</t>
  </si>
  <si>
    <t>Total Development Cost:</t>
  </si>
  <si>
    <t>Gap/(Surplus)</t>
  </si>
  <si>
    <t>Total</t>
  </si>
  <si>
    <t>First Mortgage (Lender:                                )</t>
  </si>
  <si>
    <t>Second Mortgage (Lender:                                )</t>
  </si>
  <si>
    <t>Third Mortgage (Lender:                                )</t>
  </si>
  <si>
    <t>Fourth Mortgage (Lender:                                )</t>
  </si>
  <si>
    <t>Other source (Specify:                                )</t>
  </si>
  <si>
    <t>Deferred Developer's Fee</t>
  </si>
  <si>
    <t>Developer Equity</t>
  </si>
  <si>
    <r>
      <t>Other source (Specify:</t>
    </r>
    <r>
      <rPr>
        <u/>
        <sz val="12"/>
        <color indexed="8"/>
        <rFont val="Arial"/>
        <family val="2"/>
      </rPr>
      <t xml:space="preserve">                                </t>
    </r>
    <r>
      <rPr>
        <sz val="12"/>
        <color indexed="8"/>
        <rFont val="Arial"/>
        <family val="2"/>
      </rPr>
      <t>)</t>
    </r>
  </si>
  <si>
    <t>CONSTRUCTION INTEREST</t>
  </si>
  <si>
    <t>Bond Amount</t>
  </si>
  <si>
    <t>% of bond</t>
  </si>
  <si>
    <t>Long Term Amount</t>
  </si>
  <si>
    <t>Short Term Amount</t>
  </si>
  <si>
    <t>Total Bond Amount</t>
  </si>
  <si>
    <t>Term</t>
  </si>
  <si>
    <t>Months</t>
  </si>
  <si>
    <t>Years</t>
  </si>
  <si>
    <t>Construction term</t>
  </si>
  <si>
    <t xml:space="preserve">Rent-up &amp; conversion term </t>
  </si>
  <si>
    <t>Total term</t>
  </si>
  <si>
    <t xml:space="preserve">Fixed Rates </t>
  </si>
  <si>
    <t xml:space="preserve"> Long Term</t>
  </si>
  <si>
    <t>Short Term</t>
  </si>
  <si>
    <t>2nd Construction</t>
  </si>
  <si>
    <t>3rd Construction</t>
  </si>
  <si>
    <t>4th Construction</t>
  </si>
  <si>
    <t>Variable Rate</t>
  </si>
  <si>
    <t>SIFMA</t>
  </si>
  <si>
    <t>+___ bps cushion</t>
  </si>
  <si>
    <t>Interest Calculations</t>
  </si>
  <si>
    <t>Fixed Rate</t>
  </si>
  <si>
    <t>Amount</t>
  </si>
  <si>
    <t>% Outstanding</t>
  </si>
  <si>
    <t>Term (years)</t>
  </si>
  <si>
    <t>Interest Rate</t>
  </si>
  <si>
    <t>Interest</t>
  </si>
  <si>
    <t>1st - Short Term</t>
  </si>
  <si>
    <t>1st - Long Term</t>
  </si>
  <si>
    <t>Total Fixed Rate Cons. Interest</t>
  </si>
  <si>
    <t xml:space="preserve"> HDC 1st</t>
  </si>
  <si>
    <t>HDC 2nd</t>
  </si>
  <si>
    <t>Total Variable Rate Cons. Interest</t>
  </si>
  <si>
    <t>NEGATIVE ARBITRAGE</t>
  </si>
  <si>
    <t>(for fixed-rate deals only)</t>
  </si>
  <si>
    <t>Investment Rate</t>
  </si>
  <si>
    <t xml:space="preserve">Short Term </t>
  </si>
  <si>
    <t xml:space="preserve">Long Term </t>
  </si>
  <si>
    <t>Rate</t>
  </si>
  <si>
    <t>Investment Spread</t>
  </si>
  <si>
    <t>Construction Term (years)</t>
  </si>
  <si>
    <t>LETTER OF CREDIT AMOUNT</t>
  </si>
  <si>
    <t>Days Interest</t>
  </si>
  <si>
    <t>LC Amount</t>
  </si>
  <si>
    <t>SF DISTRBUTION</t>
  </si>
  <si>
    <t>GSF</t>
  </si>
  <si>
    <t>Efficiency</t>
  </si>
  <si>
    <t>NSF</t>
  </si>
  <si>
    <t>Residential GSF</t>
  </si>
  <si>
    <t>Commercial GSF</t>
  </si>
  <si>
    <t>Community GSF</t>
  </si>
  <si>
    <t>Parking GSF</t>
  </si>
  <si>
    <t>Total Project GSF</t>
  </si>
  <si>
    <t>Total Project NSF</t>
  </si>
  <si>
    <t>UNIT DISTRBUTION</t>
  </si>
  <si>
    <t>Average Net SF</t>
  </si>
  <si>
    <t># of Units</t>
  </si>
  <si>
    <t># of Rms/ DU</t>
  </si>
  <si>
    <t># Rooms</t>
  </si>
  <si>
    <t>per Unit</t>
  </si>
  <si>
    <t>Studio</t>
  </si>
  <si>
    <t>1 Bedroom</t>
  </si>
  <si>
    <t>2 Bedroom</t>
  </si>
  <si>
    <t>3 Bedroom</t>
  </si>
  <si>
    <t>Super's Unit</t>
  </si>
  <si>
    <t>Net Residential Square Feet</t>
  </si>
  <si>
    <t>Average Net SF per DU</t>
  </si>
  <si>
    <t>COMMERICAL AND ANCILLARY INCOME</t>
  </si>
  <si>
    <t># of Spaces</t>
  </si>
  <si>
    <t>Monthly Rent</t>
  </si>
  <si>
    <t>Annual Income</t>
  </si>
  <si>
    <t>Parking (Monthly Parkers)</t>
  </si>
  <si>
    <t>Transient Parkers</t>
  </si>
  <si>
    <t>Total Parking</t>
  </si>
  <si>
    <t>Total s.f.</t>
  </si>
  <si>
    <t>Annual Rent/s.f.</t>
  </si>
  <si>
    <t>Commercial</t>
  </si>
  <si>
    <t># units</t>
  </si>
  <si>
    <t>Annual per unit</t>
  </si>
  <si>
    <t>Laundry</t>
  </si>
  <si>
    <t>Total Commercial &amp; Ancillary  Income</t>
  </si>
  <si>
    <t>RESIDENTIAL INCOME</t>
  </si>
  <si>
    <t>Affordability Summary</t>
  </si>
  <si>
    <t>Electricity (No Electric Stove) Allowance</t>
  </si>
  <si>
    <t>Electricity (WITH Electric Stove) Allowance</t>
  </si>
  <si>
    <t>Gas Allowance</t>
  </si>
  <si>
    <t>Shelter Rent</t>
  </si>
  <si>
    <t>2023 HUD Income Limits</t>
  </si>
  <si>
    <t>Family of Four</t>
  </si>
  <si>
    <t>2 rooms</t>
  </si>
  <si>
    <t>studio</t>
  </si>
  <si>
    <t>No Utilities</t>
  </si>
  <si>
    <t>2 BR FMR</t>
  </si>
  <si>
    <t>3 rooms</t>
  </si>
  <si>
    <t>1 BR</t>
  </si>
  <si>
    <t>4 rooms</t>
  </si>
  <si>
    <t>2 BR</t>
  </si>
  <si>
    <t>Select Utility Allowance</t>
  </si>
  <si>
    <t>5 rooms</t>
  </si>
  <si>
    <t>3 BR</t>
  </si>
  <si>
    <t>Electricity &amp; Gas Allowance</t>
  </si>
  <si>
    <r>
      <t>Note:</t>
    </r>
    <r>
      <rPr>
        <sz val="12"/>
        <rFont val="Arial"/>
        <family val="2"/>
      </rPr>
      <t xml:space="preserve"> For market rate units, please hard code rents</t>
    </r>
  </si>
  <si>
    <t>Our Space</t>
  </si>
  <si>
    <t>HUD IL</t>
  </si>
  <si>
    <t>Our Space With Shelter Rents</t>
  </si>
  <si>
    <t>Unit size</t>
  </si>
  <si>
    <t>HH size</t>
  </si>
  <si>
    <t>HH factor</t>
  </si>
  <si>
    <t>HH income</t>
  </si>
  <si>
    <t>max gross monthly rent</t>
  </si>
  <si>
    <t>utility allowance</t>
  </si>
  <si>
    <t>max net monthly rent</t>
  </si>
  <si>
    <t>Number of units</t>
  </si>
  <si>
    <t>Annual Rent</t>
  </si>
  <si>
    <t>rent less electricity</t>
  </si>
  <si>
    <t>Market Rate</t>
  </si>
  <si>
    <t>Total units</t>
  </si>
  <si>
    <t>Total Annual Rental Income upon occupancy</t>
  </si>
  <si>
    <t>TOTAL ANNUAL PROJECT INCOME</t>
  </si>
  <si>
    <t>MAINTENANCE &amp; OPERATING EXPENSES</t>
  </si>
  <si>
    <t>Units</t>
  </si>
  <si>
    <t>Rooms</t>
  </si>
  <si>
    <t>Expenses</t>
  </si>
  <si>
    <t>per rm/du</t>
  </si>
  <si>
    <t>2023 HDC Maintenance &amp; Operating Standards for New Construction</t>
  </si>
  <si>
    <t>Supplies/Cleaning/Exterminating</t>
  </si>
  <si>
    <t>per room</t>
  </si>
  <si>
    <r>
      <t>Space Heating</t>
    </r>
    <r>
      <rPr>
        <sz val="12"/>
        <rFont val="Arial"/>
        <family val="2"/>
      </rPr>
      <t xml:space="preserve"> (per room)</t>
    </r>
  </si>
  <si>
    <r>
      <t>Hot Water</t>
    </r>
    <r>
      <rPr>
        <sz val="12"/>
        <rFont val="Arial"/>
        <family val="2"/>
      </rPr>
      <t xml:space="preserve"> (per room)</t>
    </r>
  </si>
  <si>
    <t>Space Heating</t>
  </si>
  <si>
    <t>Gas or Oil</t>
  </si>
  <si>
    <t>Hot Water</t>
  </si>
  <si>
    <t>Electric VRF</t>
  </si>
  <si>
    <t>Electric</t>
  </si>
  <si>
    <t>Electricity (common areas)</t>
  </si>
  <si>
    <t>Epocha</t>
  </si>
  <si>
    <t>Cooking Gas</t>
  </si>
  <si>
    <t>unit</t>
  </si>
  <si>
    <t>Passive House (any system)</t>
  </si>
  <si>
    <t>Repairs/Replacement</t>
  </si>
  <si>
    <t>per unit</t>
  </si>
  <si>
    <t>Repairs/Replacement (includes painting)</t>
  </si>
  <si>
    <t>$900 / $1,050</t>
  </si>
  <si>
    <t>per unit (gas heating / all-electric)</t>
  </si>
  <si>
    <t xml:space="preserve">Legal </t>
  </si>
  <si>
    <t>Accounting</t>
  </si>
  <si>
    <t>per project</t>
  </si>
  <si>
    <t>Painting</t>
  </si>
  <si>
    <t>Superintendent &amp; Maintenance Staff Salaries</t>
  </si>
  <si>
    <t>Superintendent &amp; Maintenance Staff* Salaries</t>
  </si>
  <si>
    <t>Non-Union</t>
  </si>
  <si>
    <t>Union</t>
  </si>
  <si>
    <t>Number of:</t>
  </si>
  <si>
    <t>F/T Super</t>
  </si>
  <si>
    <t>annual + fringe</t>
  </si>
  <si>
    <t>F/T super(s)</t>
  </si>
  <si>
    <t>Super(s) Salaries</t>
  </si>
  <si>
    <t>F/T Porter</t>
  </si>
  <si>
    <t>porters</t>
  </si>
  <si>
    <t>Porter(s) Salaries</t>
  </si>
  <si>
    <t>*Required: 1 F/T staff per 65 units</t>
  </si>
  <si>
    <t xml:space="preserve">Elevator Maintenance &amp; Repairs </t>
  </si>
  <si>
    <t>per elevator</t>
  </si>
  <si>
    <t xml:space="preserve">Management Fee </t>
  </si>
  <si>
    <t>of ERI</t>
  </si>
  <si>
    <t xml:space="preserve">Water &amp; Sewer </t>
  </si>
  <si>
    <t xml:space="preserve">Fire and Liability Insurance </t>
  </si>
  <si>
    <t>Other Expenses(Specify:_________)</t>
  </si>
  <si>
    <t>Tax Credit Monitoring</t>
  </si>
  <si>
    <t>0.75% of TC Rents + $100 per building</t>
  </si>
  <si>
    <t>Benchmarking</t>
  </si>
  <si>
    <t>per building</t>
  </si>
  <si>
    <t xml:space="preserve">Replacement Reserve </t>
  </si>
  <si>
    <t>Bldg Reserve</t>
  </si>
  <si>
    <t>M &amp; O Before Taxes and Debt Service</t>
  </si>
  <si>
    <t>Real estate taxes</t>
  </si>
  <si>
    <t>TOTAL ANNUAL PROJECT EXPENSES</t>
  </si>
  <si>
    <t xml:space="preserve">per unit </t>
  </si>
  <si>
    <t>Determination of Maximum Insurable Mortgage</t>
  </si>
  <si>
    <t>MORTGAGE SIZING</t>
  </si>
  <si>
    <t>based on net available for debt service and land taxes</t>
  </si>
  <si>
    <t>Variable Interest Rates</t>
  </si>
  <si>
    <t>Fixed Interest Rates</t>
  </si>
  <si>
    <t>Income</t>
  </si>
  <si>
    <t>TAX EXEMPT</t>
  </si>
  <si>
    <t>Residential Income</t>
  </si>
  <si>
    <t>Base Rate</t>
  </si>
  <si>
    <t>Base Underwriting Rate</t>
  </si>
  <si>
    <t xml:space="preserve">Less Residential Vacancies </t>
  </si>
  <si>
    <t>Underwriting Cushion</t>
  </si>
  <si>
    <t>Servicing Fee</t>
  </si>
  <si>
    <t>Net Residential Income</t>
  </si>
  <si>
    <t>LC Fees</t>
  </si>
  <si>
    <t>MIP</t>
  </si>
  <si>
    <t>Trustee</t>
  </si>
  <si>
    <t>Sum of above rates</t>
  </si>
  <si>
    <t>Parking Income</t>
  </si>
  <si>
    <t>Remarketing</t>
  </si>
  <si>
    <t xml:space="preserve">Commercial Income </t>
  </si>
  <si>
    <t>Servicing</t>
  </si>
  <si>
    <t>Community Space Income</t>
  </si>
  <si>
    <t xml:space="preserve">Ancillary/Laundry </t>
  </si>
  <si>
    <t>Less Parking Vacancies</t>
  </si>
  <si>
    <t xml:space="preserve">Less Commercial Vac </t>
  </si>
  <si>
    <t>Less Community Space Income</t>
  </si>
  <si>
    <t>Less Ancillary/Laundry Vac</t>
  </si>
  <si>
    <t>Net Comm &amp; Ancillary Income</t>
  </si>
  <si>
    <t>Total Supportable First Mortgage</t>
  </si>
  <si>
    <t>Enter 1st Mortgage Amount from Cell H30 here</t>
  </si>
  <si>
    <t>Net Income</t>
  </si>
  <si>
    <t>Second Mortgage</t>
  </si>
  <si>
    <t>Third Mortgage</t>
  </si>
  <si>
    <t>Fourth Mortgage</t>
  </si>
  <si>
    <t>Maintenance/Operating</t>
  </si>
  <si>
    <t>Total Combined Debt</t>
  </si>
  <si>
    <t xml:space="preserve">Real estate taxes </t>
  </si>
  <si>
    <t>Replacement Reserve</t>
  </si>
  <si>
    <t>1st Loan Reduction</t>
  </si>
  <si>
    <t>2nd Loan Constant</t>
  </si>
  <si>
    <t>3rd Loan Constant</t>
  </si>
  <si>
    <t>4th Loan Constant</t>
  </si>
  <si>
    <t>Total Expenses</t>
  </si>
  <si>
    <t>1st Loan</t>
  </si>
  <si>
    <t>2nd Loan</t>
  </si>
  <si>
    <t>3rd Loan</t>
  </si>
  <si>
    <t>4th Loan</t>
  </si>
  <si>
    <t>NET OPERATING INCOME</t>
  </si>
  <si>
    <t>Yrs 1 - 30</t>
  </si>
  <si>
    <t>Amt Amortized</t>
  </si>
  <si>
    <t>Net Available @1.05 Income to Expense</t>
  </si>
  <si>
    <t>Balance</t>
  </si>
  <si>
    <t>Combined DSCR</t>
  </si>
  <si>
    <t>Balloon %</t>
  </si>
  <si>
    <t xml:space="preserve">Net Available for Debt Service @ </t>
  </si>
  <si>
    <t>Debt Service</t>
  </si>
  <si>
    <t>Income to Expense</t>
  </si>
  <si>
    <t>Debt Coverage</t>
  </si>
  <si>
    <t>1st Mort DSCR</t>
  </si>
  <si>
    <t>Assumed Subsidies</t>
  </si>
  <si>
    <t>Source:</t>
  </si>
  <si>
    <t>increases</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</si>
  <si>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</si>
  <si>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</si>
  <si>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</si>
  <si>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</si>
  <si>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</si>
  <si>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</si>
  <si>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</si>
  <si>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</si>
  <si>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</si>
  <si>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</si>
  <si>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</si>
  <si>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</si>
  <si>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</si>
  <si>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</si>
  <si>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</si>
  <si>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</si>
  <si>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</si>
  <si>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</si>
  <si>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</si>
  <si>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</si>
  <si>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</si>
  <si>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</si>
  <si>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</si>
  <si>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</si>
  <si>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</si>
  <si>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</si>
  <si>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</si>
  <si>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</si>
  <si>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</si>
  <si>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</si>
  <si>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EFFECTIVE INCOMES</t>
  </si>
  <si>
    <t>Commercial Income</t>
  </si>
  <si>
    <t>Ancillary Income</t>
  </si>
  <si>
    <t>Total Income</t>
  </si>
  <si>
    <t>EXPENSES</t>
  </si>
  <si>
    <t>M&amp;O Expenses</t>
  </si>
  <si>
    <t>Management Fee</t>
  </si>
  <si>
    <t>Building Reserve</t>
  </si>
  <si>
    <t>NOI</t>
  </si>
  <si>
    <t>Net Cash Flow</t>
  </si>
  <si>
    <t>Net Cash Flow in 15 years</t>
  </si>
  <si>
    <t>TRADE ITEM</t>
  </si>
  <si>
    <t>$ AMOUNT</t>
  </si>
  <si>
    <t>Demolition</t>
  </si>
  <si>
    <t>Environmental Remediation</t>
  </si>
  <si>
    <t>Railroad trench deck (Site B only)</t>
  </si>
  <si>
    <t>Landscaping / Site Work</t>
  </si>
  <si>
    <t>Concrete</t>
  </si>
  <si>
    <t>6a</t>
  </si>
  <si>
    <t>Masonry, pointing, waterproofing, steam cleaning</t>
  </si>
  <si>
    <t>6b</t>
  </si>
  <si>
    <t>Carpentry, rough</t>
  </si>
  <si>
    <t>Carpentry, finished</t>
  </si>
  <si>
    <t>Metals, structural steel</t>
  </si>
  <si>
    <t>Roofing</t>
  </si>
  <si>
    <t>Insulation</t>
  </si>
  <si>
    <t>Doors, frames, hardware</t>
  </si>
  <si>
    <t>Windows and glazing</t>
  </si>
  <si>
    <t>Entrance doors</t>
  </si>
  <si>
    <t>Drywall and plastering</t>
  </si>
  <si>
    <t>Ceramic tile</t>
  </si>
  <si>
    <t>Finish flooring</t>
  </si>
  <si>
    <t>17a</t>
  </si>
  <si>
    <t>17b</t>
  </si>
  <si>
    <t>Kitchen cabinets</t>
  </si>
  <si>
    <t>Applicances, medicine cabinet</t>
  </si>
  <si>
    <t>Heating and ventilation</t>
  </si>
  <si>
    <t>Plumbing</t>
  </si>
  <si>
    <t>Electrical</t>
  </si>
  <si>
    <t>Other:__________________</t>
  </si>
  <si>
    <t xml:space="preserve">SUBTOTAL </t>
  </si>
  <si>
    <t>General Conditions</t>
  </si>
  <si>
    <t>Overhead</t>
  </si>
  <si>
    <t>Profit</t>
  </si>
  <si>
    <t xml:space="preserve">GRAND TOTAL </t>
  </si>
  <si>
    <r>
      <t xml:space="preserve">Please provide the information below for the </t>
    </r>
    <r>
      <rPr>
        <b/>
        <u/>
        <sz val="10"/>
        <rFont val="Arial"/>
        <family val="2"/>
      </rPr>
      <t>entire project,</t>
    </r>
    <r>
      <rPr>
        <b/>
        <sz val="10"/>
        <rFont val="Arial"/>
        <family val="2"/>
      </rPr>
      <t xml:space="preserve"> including all separately financed rental and homeownership components.</t>
    </r>
  </si>
  <si>
    <t xml:space="preserve">***Please do not alter worksheet placement/order of cells </t>
  </si>
  <si>
    <t>Component 1</t>
  </si>
  <si>
    <t>Component 2</t>
  </si>
  <si>
    <t>Component 3</t>
  </si>
  <si>
    <t>All</t>
  </si>
  <si>
    <t>Pro Forma Assumptions</t>
  </si>
  <si>
    <t>(Specify)</t>
  </si>
  <si>
    <t>Components</t>
  </si>
  <si>
    <t>Source Additional Info</t>
  </si>
  <si>
    <t>Total Conventional Debt</t>
  </si>
  <si>
    <t>Total Volume Cap Bonds</t>
  </si>
  <si>
    <t>Total Recycled Bonds</t>
  </si>
  <si>
    <t>Total Taxable Bonds</t>
  </si>
  <si>
    <t>% of Developer Fee Deferred during Construction</t>
  </si>
  <si>
    <t>Total HPD Subsidy Per Unit</t>
  </si>
  <si>
    <t>Total HDC Subsidy Per Unit</t>
  </si>
  <si>
    <t>Total Other Source Subsidy Per Unit</t>
  </si>
  <si>
    <t>Costs</t>
  </si>
  <si>
    <t>Total Residential Hard Costs PSF</t>
  </si>
  <si>
    <t>Total Commercial Hard Costs PSF</t>
  </si>
  <si>
    <t>Total Community Hard Costs PSF</t>
  </si>
  <si>
    <t>Total Parking Hard Costs PSF</t>
  </si>
  <si>
    <t>Total Other Hard Costs PSF</t>
  </si>
  <si>
    <t>Total Hard Costs w/Contingency PSF</t>
  </si>
  <si>
    <t>LOC Upfront Fee % (if any)</t>
  </si>
  <si>
    <t>LOC Ongoing Fee % (if any)</t>
  </si>
  <si>
    <t>Soft Costs as a % of TDC</t>
  </si>
  <si>
    <t>Developer Fee as a % of TDC</t>
  </si>
  <si>
    <t>Units &amp; Income</t>
  </si>
  <si>
    <t>% of Units with 2 or more bedrooms</t>
  </si>
  <si>
    <t>% of Units with rents set at or below 30% AMI</t>
  </si>
  <si>
    <t>% of Units with rents set at 31-40% AMI</t>
  </si>
  <si>
    <t>% of Units with rents set at 41-50% AMI</t>
  </si>
  <si>
    <t>% of Units with rents set at 51-60% AMI</t>
  </si>
  <si>
    <t>% of Units with rents set at 61-70% AMI</t>
  </si>
  <si>
    <t>% of Units with rents set at 71-80% AMI</t>
  </si>
  <si>
    <t>% of Units with rents set at 81-90% AMI</t>
  </si>
  <si>
    <t>% of Units with rents set at 91% of AMI or above</t>
  </si>
  <si>
    <t xml:space="preserve">% of Units with homeless set-aside </t>
  </si>
  <si>
    <t>% of affordable Units</t>
  </si>
  <si>
    <t xml:space="preserve">% of Units with market rents </t>
  </si>
  <si>
    <t>Total Rental Units (non inc. Super Units)</t>
  </si>
  <si>
    <t># of Super Units</t>
  </si>
  <si>
    <t>Non-Residential Income as % of Total</t>
  </si>
  <si>
    <t>Commercial Income PSF</t>
  </si>
  <si>
    <t>Parking Income Per Legal Space</t>
  </si>
  <si>
    <t>Community Income PSF</t>
  </si>
  <si>
    <t>Operating Assumptions</t>
  </si>
  <si>
    <t>Total M&amp;O Per Unit</t>
  </si>
  <si>
    <t>Total Taxes Per Unit</t>
  </si>
  <si>
    <t xml:space="preserve">Tax Abatement Type </t>
  </si>
  <si>
    <t>Cash Flow Income Inflator %</t>
  </si>
  <si>
    <t>Cash Flow Expense Inflator %</t>
  </si>
  <si>
    <t>Other Assumptions</t>
  </si>
  <si>
    <t>Total Construction Period (months)</t>
  </si>
  <si>
    <t>LIHTC Raise (e.g.- $0.00)</t>
  </si>
  <si>
    <t>Assumed LIHTC Rate</t>
  </si>
  <si>
    <t>Total Permanent Period (years)</t>
  </si>
  <si>
    <t>Senior Loan Construction Interest Rate %</t>
  </si>
  <si>
    <t>Senior Loan Permanent All-in Interest Rate %</t>
  </si>
  <si>
    <t>Assumed Construction Enhancement Type (text)</t>
  </si>
  <si>
    <t>Assumed Permanent Enhancement Type (text)</t>
  </si>
  <si>
    <t>Please feel free to list any other critical assumptions not included below:</t>
  </si>
  <si>
    <t>These calculations must match the architectural plans included in the proposal.</t>
  </si>
  <si>
    <t xml:space="preserve">TOTAL BUILT FLOOR AREA (Gross Square Feet): </t>
  </si>
  <si>
    <t>Total building stories</t>
  </si>
  <si>
    <t>Total Parking Spaces</t>
  </si>
  <si>
    <t>Parking Type (i.e.- surface, covered, garage)</t>
  </si>
  <si>
    <t>1. Residential Space</t>
  </si>
  <si>
    <t>2. Unfinished Basement</t>
  </si>
  <si>
    <t>3. Cellar</t>
  </si>
  <si>
    <t>4. Attics</t>
  </si>
  <si>
    <t>5. Mechanical / Utility Areas</t>
  </si>
  <si>
    <t>6. Garages</t>
  </si>
  <si>
    <t>7. Commercial Space</t>
  </si>
  <si>
    <t>8. Community Space</t>
  </si>
  <si>
    <t>9. Parking</t>
  </si>
  <si>
    <t>10. Other ___________________</t>
  </si>
  <si>
    <t>11. Subtotal Gross Square Feet</t>
  </si>
  <si>
    <t>2023 Area Median Income</t>
  </si>
  <si>
    <t>Electric with Electric Stove</t>
  </si>
  <si>
    <t>Electricity Allowance</t>
  </si>
  <si>
    <t>Total (Electric plus Gas)</t>
  </si>
  <si>
    <t>for a family of four</t>
  </si>
  <si>
    <t>Rent Burden</t>
  </si>
  <si>
    <t>4 BR</t>
  </si>
  <si>
    <t>5 BR</t>
  </si>
  <si>
    <t>As of:</t>
  </si>
  <si>
    <t>per NYCHA (all Unit Types)</t>
  </si>
  <si>
    <t>PROJECT TYPE (select below)</t>
  </si>
  <si>
    <t>New Construction/Special Needs</t>
  </si>
  <si>
    <t>***0.6 HH Factor for New Construction/Special Needs only applies to projects that comply with HPD’s new Design Guidelines***</t>
  </si>
  <si>
    <t>of AMI</t>
  </si>
  <si>
    <t>Tenant Pays</t>
  </si>
  <si>
    <t>Electric (No Electric Stove)</t>
  </si>
  <si>
    <t>Gas Only</t>
  </si>
  <si>
    <t>Gas &amp; Electricity</t>
  </si>
  <si>
    <t>HH Size</t>
  </si>
  <si>
    <t>HH Factor</t>
  </si>
  <si>
    <t>Limit</t>
  </si>
  <si>
    <t>PROJECT NAME</t>
  </si>
  <si>
    <t>TOTAL DEVELOPMENT COST</t>
  </si>
  <si>
    <t>Acquisition</t>
  </si>
  <si>
    <t>Hard Costs</t>
  </si>
  <si>
    <t>Soft Costs</t>
  </si>
  <si>
    <t>Developers Fee</t>
  </si>
  <si>
    <t>Construction Sources of Financing</t>
  </si>
  <si>
    <t>Equity</t>
  </si>
  <si>
    <t>Lender / Source</t>
  </si>
  <si>
    <t xml:space="preserve">   Cash Equity</t>
  </si>
  <si>
    <t xml:space="preserve">   Other  Source</t>
  </si>
  <si>
    <t>Total Equity</t>
  </si>
  <si>
    <t>Loans / Grants</t>
  </si>
  <si>
    <t xml:space="preserve">   Bank Construction Loan</t>
  </si>
  <si>
    <t xml:space="preserve">   Other Loan / Grant</t>
  </si>
  <si>
    <t>Total Loans / Grants</t>
  </si>
  <si>
    <t>Total Construction Sources</t>
  </si>
  <si>
    <t>Permanent Sources of Financing</t>
  </si>
  <si>
    <t>Sales Proceeds</t>
  </si>
  <si>
    <r>
      <t xml:space="preserve">   Bank 1</t>
    </r>
    <r>
      <rPr>
        <vertAlign val="superscript"/>
        <sz val="10"/>
        <rFont val="Arial"/>
        <family val="2"/>
      </rPr>
      <t>st</t>
    </r>
    <r>
      <rPr>
        <sz val="10"/>
        <rFont val="Arial"/>
        <family val="2"/>
      </rPr>
      <t xml:space="preserve"> Mortgage</t>
    </r>
  </si>
  <si>
    <r>
      <t xml:space="preserve">   2</t>
    </r>
    <r>
      <rPr>
        <vertAlign val="superscript"/>
        <sz val="10"/>
        <rFont val="Arial"/>
        <family val="2"/>
      </rPr>
      <t>nd</t>
    </r>
    <r>
      <rPr>
        <sz val="10"/>
        <rFont val="Arial"/>
        <family val="2"/>
      </rPr>
      <t xml:space="preserve"> Mortgage</t>
    </r>
  </si>
  <si>
    <t>Total Permanent Sources</t>
  </si>
  <si>
    <t>Total Residential Units</t>
  </si>
  <si>
    <t>Gross Square Footage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</si>
</sst>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_)"/>
    <numFmt numFmtId="165" formatCode="mm/dd/yy_)"/>
    <numFmt numFmtId="166" formatCode="dd\-mmm\-yy_)"/>
    <numFmt numFmtId="167" formatCode="0.000000%"/>
    <numFmt numFmtId="168" formatCode="0.0%"/>
    <numFmt numFmtId="169" formatCode="_(&quot;$&quot;* #,##0_);_(&quot;$&quot;* \(#,##0\);_(&quot;$&quot;* &quot;-&quot;??_);_(@_)"/>
    <numFmt numFmtId="170" formatCode="&quot;$&quot;#,##0"/>
    <numFmt numFmtId="171" formatCode="0.0"/>
    <numFmt numFmtId="172" formatCode="0.000%"/>
    <numFmt numFmtId="173" formatCode="_(* #,##0_);_(* \(#,##0\);_(* &quot;-&quot;??_);_(@_)"/>
    <numFmt numFmtId="174" formatCode="#,##0.000_);\(#,##0.000\)"/>
    <numFmt numFmtId="175" formatCode="&quot;$&quot;#,##0.00"/>
    <numFmt numFmtId="176" formatCode="&quot;Income Limits &amp; Rents at &quot;0%\ &quot;AMI&quot;"/>
    <numFmt numFmtId="177" formatCode="&quot;Income Limits &amp; Rents at &quot;0%\ &quot;of AMI&quot;"/>
    <numFmt numFmtId="178" formatCode="0%\ &quot;of AMI&quot;"/>
  </numFmts>
  <fonts count="46">
    <font>
      <sz val="12"/>
      <name val="Arial"/>
    </font>
    <font>
      <sz val="11"/>
      <color theme="1"/>
      <name val="Calibri"/>
      <family val="2"/>
      <scheme val="minor"/>
    </font>
    <font>
      <sz val="10"/>
      <name val="Arial"/>
      <family val="2"/>
    </font>
    <font>
      <sz val="10"/>
      <name val="Arial"/>
      <family val="2"/>
    </font>
    <font>
      <b/>
      <sz val="12"/>
      <color indexed="8"/>
      <name val="Arial"/>
      <family val="2"/>
    </font>
    <font>
      <sz val="12"/>
      <color indexed="8"/>
      <name val="Arial"/>
      <family val="2"/>
    </font>
    <font>
      <b/>
      <sz val="18"/>
      <color indexed="8"/>
      <name val="Arial"/>
      <family val="2"/>
    </font>
    <font>
      <b/>
      <u/>
      <sz val="12"/>
      <color indexed="8"/>
      <name val="Arial"/>
      <family val="2"/>
    </font>
    <font>
      <b/>
      <u/>
      <sz val="18"/>
      <color indexed="8"/>
      <name val="Arial"/>
      <family val="2"/>
    </font>
    <font>
      <sz val="10"/>
      <color indexed="8"/>
      <name val="Arial"/>
      <family val="2"/>
    </font>
    <font>
      <sz val="10"/>
      <color indexed="12"/>
      <name val="Arial"/>
      <family val="2"/>
    </font>
    <font>
      <b/>
      <sz val="12"/>
      <color indexed="8"/>
      <name val="SWISS"/>
      <family val="2"/>
    </font>
    <font>
      <sz val="12"/>
      <color indexed="8"/>
      <name val="SWISS"/>
      <family val="2"/>
    </font>
    <font>
      <sz val="10"/>
      <color indexed="8"/>
      <name val="SWISS"/>
      <family val="2"/>
    </font>
    <font>
      <b/>
      <sz val="12"/>
      <name val="Arial"/>
      <family val="2"/>
    </font>
    <font>
      <sz val="10"/>
      <name val="Arial MT"/>
    </font>
    <font>
      <sz val="12"/>
      <name val="Arial"/>
      <family val="2"/>
    </font>
    <font>
      <u/>
      <sz val="12"/>
      <color indexed="8"/>
      <name val="Arial"/>
      <family val="2"/>
    </font>
    <font>
      <sz val="9"/>
      <color indexed="8"/>
      <name val="Arial"/>
      <family val="2"/>
    </font>
    <font>
      <b/>
      <sz val="10"/>
      <color indexed="8"/>
      <name val="Arial"/>
      <family val="2"/>
    </font>
    <font>
      <sz val="12"/>
      <name val="Arial"/>
      <family val="2"/>
    </font>
    <font>
      <sz val="10"/>
      <name val="Arial"/>
      <family val="2"/>
    </font>
    <font>
      <b/>
      <sz val="12"/>
      <color indexed="10"/>
      <name val="Arial"/>
      <family val="2"/>
    </font>
    <font>
      <u/>
      <sz val="12"/>
      <name val="Arial"/>
      <family val="2"/>
    </font>
    <font>
      <i/>
      <sz val="12"/>
      <color indexed="8"/>
      <name val="Arial"/>
      <family val="2"/>
    </font>
    <font>
      <u val="singleAccounting"/>
      <sz val="12"/>
      <color indexed="8"/>
      <name val="Arial"/>
      <family val="2"/>
    </font>
    <font>
      <sz val="8"/>
      <name val="Arial"/>
      <family val="2"/>
    </font>
    <font>
      <b/>
      <i/>
      <u/>
      <sz val="12"/>
      <color indexed="8"/>
      <name val="Arial"/>
      <family val="2"/>
    </font>
    <font>
      <b/>
      <i/>
      <sz val="12"/>
      <color indexed="8"/>
      <name val="Arial"/>
      <family val="2"/>
    </font>
    <font>
      <sz val="8"/>
      <name val="Arial"/>
      <family val="2"/>
    </font>
    <font>
      <i/>
      <sz val="12"/>
      <name val="Arial"/>
      <family val="2"/>
    </font>
    <font>
      <b/>
      <sz val="11"/>
      <color indexed="9"/>
      <name val="Arial"/>
      <family val="2"/>
    </font>
    <font>
      <b/>
      <sz val="10"/>
      <name val="Arial"/>
      <family val="2"/>
    </font>
    <font>
      <b/>
      <u/>
      <sz val="10"/>
      <name val="Arial"/>
      <family val="2"/>
    </font>
    <font>
      <vertAlign val="superscript"/>
      <sz val="10"/>
      <name val="Arial"/>
      <family val="2"/>
    </font>
    <font>
      <b/>
      <sz val="11"/>
      <name val="Arial"/>
      <family val="2"/>
    </font>
    <font>
      <b/>
      <u/>
      <sz val="12"/>
      <name val="Arial"/>
      <family val="2"/>
    </font>
    <font>
      <sz val="12"/>
      <color indexed="10"/>
      <name val="Arial"/>
      <family val="2"/>
    </font>
    <font>
      <sz val="8"/>
      <color indexed="81"/>
      <name val="Tahoma"/>
      <family val="2"/>
    </font>
    <font>
      <b/>
      <sz val="8"/>
      <color indexed="81"/>
      <name val="Tahoma"/>
      <family val="2"/>
    </font>
    <font>
      <sz val="10"/>
      <color indexed="18"/>
      <name val="Arial"/>
      <family val="2"/>
    </font>
    <font>
      <sz val="11"/>
      <name val="Arial"/>
      <family val="2"/>
    </font>
    <font>
      <sz val="12"/>
      <color theme="0"/>
      <name val="Arial"/>
      <family val="2"/>
    </font>
    <font>
      <sz val="12"/>
      <color theme="1"/>
      <name val="Arial"/>
      <family val="2"/>
    </font>
    <font>
      <b/>
      <sz val="12"/>
      <color theme="3"/>
      <name val="Arial"/>
      <family val="2"/>
    </font>
    <font>
      <b/>
      <sz val="12"/>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249977111117893"/>
        <bgColor indexed="64"/>
      </patternFill>
    </fill>
  </fills>
  <borders count="85">
    <border>
      <left/>
      <right/>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top/>
      <bottom style="thin">
        <color indexed="8"/>
      </bottom>
      <diagonal/>
    </border>
    <border>
      <left/>
      <right/>
      <top/>
      <bottom style="double">
        <color indexed="8"/>
      </bottom>
      <diagonal/>
    </border>
    <border>
      <left/>
      <right style="thin">
        <color indexed="8"/>
      </right>
      <top style="double">
        <color indexed="8"/>
      </top>
      <bottom/>
      <diagonal/>
    </border>
    <border>
      <left style="thin">
        <color indexed="8"/>
      </left>
      <right/>
      <top style="double">
        <color indexed="8"/>
      </top>
      <bottom/>
      <diagonal/>
    </border>
    <border>
      <left/>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theme="1"/>
      </left>
      <right style="thin">
        <color indexed="8"/>
      </right>
      <top/>
      <bottom/>
      <diagonal/>
    </border>
    <border>
      <left style="thin">
        <color theme="1"/>
      </left>
      <right/>
      <top style="double">
        <color theme="1"/>
      </top>
      <bottom/>
      <diagonal/>
    </border>
    <border>
      <left/>
      <right/>
      <top style="double">
        <color theme="1"/>
      </top>
      <bottom/>
      <diagonal/>
    </border>
    <border>
      <left/>
      <right style="thin">
        <color theme="1"/>
      </right>
      <top style="double">
        <color theme="1"/>
      </top>
      <bottom/>
      <diagonal/>
    </border>
    <border>
      <left style="thin">
        <color theme="1"/>
      </left>
      <right/>
      <top/>
      <bottom/>
      <diagonal/>
    </border>
    <border>
      <left style="thin">
        <color theme="1"/>
      </left>
      <right/>
      <top/>
      <bottom style="thin">
        <color theme="1"/>
      </bottom>
      <diagonal/>
    </border>
    <border>
      <left style="thin">
        <color theme="1"/>
      </left>
      <right style="dashed">
        <color theme="0" tint="-0.499984740745262"/>
      </right>
      <top style="hair">
        <color theme="1"/>
      </top>
      <bottom style="dashed">
        <color theme="0" tint="-0.499984740745262"/>
      </bottom>
      <diagonal/>
    </border>
    <border>
      <left style="thin">
        <color theme="1"/>
      </left>
      <right style="dashed">
        <color theme="0" tint="-0.499984740745262"/>
      </right>
      <top style="dashed">
        <color theme="0" tint="-0.499984740745262"/>
      </top>
      <bottom style="dashed">
        <color theme="0" tint="-0.499984740745262"/>
      </bottom>
      <diagonal/>
    </border>
    <border>
      <left style="thin">
        <color theme="1"/>
      </left>
      <right style="dashed">
        <color theme="0" tint="-0.499984740745262"/>
      </right>
      <top style="dashed">
        <color theme="0" tint="-0.499984740745262"/>
      </top>
      <bottom style="hair">
        <color theme="1"/>
      </bottom>
      <diagonal/>
    </border>
    <border>
      <left style="dashed">
        <color theme="0" tint="-0.499984740745262"/>
      </left>
      <right style="dashed">
        <color theme="0" tint="-0.499984740745262"/>
      </right>
      <top style="hair">
        <color theme="1"/>
      </top>
      <bottom style="dashed">
        <color theme="0" tint="-0.499984740745262"/>
      </bottom>
      <diagonal/>
    </border>
    <border>
      <left style="dashed">
        <color theme="0" tint="-0.499984740745262"/>
      </left>
      <right style="thin">
        <color theme="1"/>
      </right>
      <top style="hair">
        <color theme="1"/>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style="thin">
        <color theme="1"/>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style="hair">
        <color theme="1"/>
      </bottom>
      <diagonal/>
    </border>
    <border>
      <left style="dashed">
        <color theme="0" tint="-0.499984740745262"/>
      </left>
      <right style="thin">
        <color theme="1"/>
      </right>
      <top style="dashed">
        <color theme="0" tint="-0.499984740745262"/>
      </top>
      <bottom style="hair">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style="thin">
        <color indexed="8"/>
      </left>
      <right style="thin">
        <color theme="1"/>
      </right>
      <top style="thin">
        <color indexed="8"/>
      </top>
      <bottom style="thin">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indexed="8"/>
      </right>
      <top style="thin">
        <color theme="1"/>
      </top>
      <bottom/>
      <diagonal/>
    </border>
    <border>
      <left/>
      <right/>
      <top style="thin">
        <color theme="1"/>
      </top>
      <bottom/>
      <diagonal/>
    </border>
    <border>
      <left/>
      <right style="thin">
        <color indexed="8"/>
      </right>
      <top style="thin">
        <color theme="1"/>
      </top>
      <bottom/>
      <diagonal/>
    </border>
    <border>
      <left style="thin">
        <color indexed="8"/>
      </left>
      <right style="thin">
        <color indexed="8"/>
      </right>
      <top style="thin">
        <color theme="1"/>
      </top>
      <bottom/>
      <diagonal/>
    </border>
    <border>
      <left style="thin">
        <color indexed="8"/>
      </left>
      <right/>
      <top style="thin">
        <color theme="1"/>
      </top>
      <bottom/>
      <diagonal/>
    </border>
    <border>
      <left/>
      <right style="thin">
        <color theme="1"/>
      </right>
      <top style="thin">
        <color theme="1"/>
      </top>
      <bottom/>
      <diagonal/>
    </border>
    <border>
      <left style="thin">
        <color theme="1"/>
      </left>
      <right style="thin">
        <color indexed="8"/>
      </right>
      <top/>
      <bottom style="thin">
        <color theme="1"/>
      </bottom>
      <diagonal/>
    </border>
    <border>
      <left style="thin">
        <color indexed="8"/>
      </left>
      <right/>
      <top/>
      <bottom style="thin">
        <color theme="1"/>
      </bottom>
      <diagonal/>
    </border>
    <border>
      <left/>
      <right style="thin">
        <color indexed="8"/>
      </right>
      <top/>
      <bottom style="thin">
        <color theme="1"/>
      </bottom>
      <diagonal/>
    </border>
    <border>
      <left style="thin">
        <color indexed="8"/>
      </left>
      <right style="thin">
        <color indexed="8"/>
      </right>
      <top/>
      <bottom style="thin">
        <color theme="1"/>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theme="1"/>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8"/>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style="thin">
        <color indexed="8"/>
      </right>
      <top/>
      <bottom/>
      <diagonal/>
    </border>
    <border>
      <left/>
      <right style="thin">
        <color indexed="64"/>
      </right>
      <top/>
      <bottom/>
      <diagonal/>
    </border>
    <border>
      <left style="thin">
        <color indexed="8"/>
      </left>
      <right/>
      <top/>
      <bottom/>
      <diagonal/>
    </border>
    <border>
      <left style="thin">
        <color indexed="8"/>
      </left>
      <right style="thin">
        <color indexed="8"/>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theme="1"/>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double">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2">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37" fontId="15" fillId="0" borderId="0"/>
    <xf numFmtId="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0" fontId="16" fillId="0" borderId="0"/>
    <xf numFmtId="0" fontId="1" fillId="0" borderId="0"/>
    <xf numFmtId="0" fontId="1" fillId="0" borderId="0"/>
  </cellStyleXfs>
  <cellXfs count="698">
    <xf numFmtId="0" fontId="0" fillId="0" borderId="0" xfId="0"/>
    <xf numFmtId="0" fontId="4" fillId="0" borderId="0" xfId="0" applyFont="1"/>
    <xf numFmtId="0" fontId="5" fillId="0" borderId="0" xfId="0" applyFont="1"/>
    <xf numFmtId="0" fontId="5" fillId="0" borderId="0" xfId="0" applyFont="1" applyAlignment="1">
      <alignment horizontal="right"/>
    </xf>
    <xf numFmtId="37" fontId="5" fillId="0" borderId="0" xfId="0" applyNumberFormat="1" applyFont="1"/>
    <xf numFmtId="5" fontId="5" fillId="0" borderId="0" xfId="0" applyNumberFormat="1" applyFont="1"/>
    <xf numFmtId="37" fontId="5" fillId="0" borderId="0" xfId="0" applyNumberFormat="1" applyFont="1" applyAlignment="1">
      <alignment horizontal="right"/>
    </xf>
    <xf numFmtId="5" fontId="4" fillId="0" borderId="0" xfId="0" applyNumberFormat="1" applyFont="1"/>
    <xf numFmtId="0" fontId="8" fillId="0" borderId="0" xfId="0" applyFont="1" applyAlignment="1">
      <alignment horizontal="centerContinuous"/>
    </xf>
    <xf numFmtId="10" fontId="5" fillId="0" borderId="0" xfId="0" applyNumberFormat="1" applyFont="1"/>
    <xf numFmtId="5" fontId="5" fillId="0" borderId="0" xfId="0" applyNumberFormat="1" applyFont="1" applyAlignment="1">
      <alignment horizontal="right"/>
    </xf>
    <xf numFmtId="0" fontId="9" fillId="0" borderId="0" xfId="0" applyFont="1"/>
    <xf numFmtId="0" fontId="10" fillId="0" borderId="0" xfId="0" applyFont="1" applyProtection="1">
      <protection locked="0"/>
    </xf>
    <xf numFmtId="165" fontId="9" fillId="0" borderId="0" xfId="0" applyNumberFormat="1" applyFont="1"/>
    <xf numFmtId="166" fontId="5" fillId="0" borderId="0" xfId="0" applyNumberFormat="1" applyFont="1"/>
    <xf numFmtId="37" fontId="4" fillId="0" borderId="0" xfId="0" applyNumberFormat="1" applyFont="1"/>
    <xf numFmtId="0" fontId="13" fillId="0" borderId="0" xfId="0" applyFont="1"/>
    <xf numFmtId="0" fontId="8" fillId="0" borderId="0" xfId="0" applyFont="1"/>
    <xf numFmtId="0" fontId="4" fillId="0" borderId="0" xfId="0" applyFont="1" applyAlignment="1">
      <alignment horizontal="left"/>
    </xf>
    <xf numFmtId="0" fontId="14" fillId="0" borderId="0" xfId="0" applyFont="1"/>
    <xf numFmtId="5" fontId="0" fillId="0" borderId="0" xfId="0" applyNumberFormat="1"/>
    <xf numFmtId="44" fontId="14" fillId="0" borderId="0" xfId="0" applyNumberFormat="1" applyFont="1"/>
    <xf numFmtId="7" fontId="0" fillId="0" borderId="0" xfId="0" applyNumberFormat="1"/>
    <xf numFmtId="44" fontId="14" fillId="0" borderId="0" xfId="2" applyFont="1"/>
    <xf numFmtId="0" fontId="19" fillId="0" borderId="0" xfId="0" applyFont="1"/>
    <xf numFmtId="0" fontId="20" fillId="0" borderId="0" xfId="0" applyFont="1"/>
    <xf numFmtId="0" fontId="22" fillId="0" borderId="0" xfId="0" applyFont="1" applyAlignment="1">
      <alignment horizontal="centerContinuous"/>
    </xf>
    <xf numFmtId="170" fontId="22" fillId="0" borderId="0" xfId="0" applyNumberFormat="1" applyFont="1" applyAlignment="1">
      <alignment horizontal="centerContinuous"/>
    </xf>
    <xf numFmtId="5" fontId="9" fillId="0" borderId="0" xfId="0" applyNumberFormat="1" applyFont="1"/>
    <xf numFmtId="10" fontId="9" fillId="0" borderId="0" xfId="0" applyNumberFormat="1" applyFont="1"/>
    <xf numFmtId="5" fontId="10" fillId="0" borderId="0" xfId="0" applyNumberFormat="1" applyFont="1" applyProtection="1">
      <protection locked="0"/>
    </xf>
    <xf numFmtId="10" fontId="10" fillId="0" borderId="0" xfId="0" applyNumberFormat="1" applyFont="1" applyProtection="1">
      <protection locked="0"/>
    </xf>
    <xf numFmtId="9" fontId="10" fillId="0" borderId="0" xfId="0" applyNumberFormat="1" applyFont="1" applyProtection="1">
      <protection locked="0"/>
    </xf>
    <xf numFmtId="7" fontId="10" fillId="0" borderId="0" xfId="0" applyNumberFormat="1" applyFont="1" applyProtection="1">
      <protection locked="0"/>
    </xf>
    <xf numFmtId="37" fontId="10" fillId="0" borderId="0" xfId="0" applyNumberFormat="1" applyFont="1" applyProtection="1">
      <protection locked="0"/>
    </xf>
    <xf numFmtId="10" fontId="9" fillId="0" borderId="0" xfId="0" applyNumberFormat="1" applyFont="1" applyAlignment="1">
      <alignment horizontal="centerContinuous"/>
    </xf>
    <xf numFmtId="10" fontId="21" fillId="0" borderId="0" xfId="0" applyNumberFormat="1" applyFont="1"/>
    <xf numFmtId="0" fontId="17" fillId="0" borderId="0" xfId="0" applyFont="1"/>
    <xf numFmtId="170" fontId="20" fillId="0" borderId="0" xfId="0" applyNumberFormat="1" applyFont="1"/>
    <xf numFmtId="3" fontId="14" fillId="0" borderId="0" xfId="0" applyNumberFormat="1" applyFont="1"/>
    <xf numFmtId="10" fontId="23" fillId="0" borderId="0" xfId="0" applyNumberFormat="1" applyFont="1"/>
    <xf numFmtId="0" fontId="14" fillId="0" borderId="0" xfId="0" applyFont="1" applyAlignment="1">
      <alignment horizontal="right"/>
    </xf>
    <xf numFmtId="37" fontId="12" fillId="0" borderId="0" xfId="0" applyNumberFormat="1" applyFont="1"/>
    <xf numFmtId="0" fontId="14" fillId="0" borderId="0" xfId="0" applyFont="1" applyAlignment="1">
      <alignment horizontal="left"/>
    </xf>
    <xf numFmtId="7" fontId="14" fillId="0" borderId="0" xfId="0" applyNumberFormat="1" applyFont="1"/>
    <xf numFmtId="10" fontId="24" fillId="0" borderId="0" xfId="0" applyNumberFormat="1" applyFont="1"/>
    <xf numFmtId="39" fontId="24" fillId="0" borderId="0" xfId="0" applyNumberFormat="1" applyFont="1"/>
    <xf numFmtId="0" fontId="0" fillId="0" borderId="0" xfId="0" applyAlignment="1">
      <alignment horizontal="right"/>
    </xf>
    <xf numFmtId="7" fontId="5" fillId="0" borderId="0" xfId="0" applyNumberFormat="1" applyFont="1"/>
    <xf numFmtId="9" fontId="5" fillId="0" borderId="0" xfId="0" applyNumberFormat="1" applyFont="1"/>
    <xf numFmtId="2" fontId="0" fillId="0" borderId="0" xfId="0" applyNumberFormat="1"/>
    <xf numFmtId="0" fontId="16" fillId="0" borderId="0" xfId="0" applyFont="1"/>
    <xf numFmtId="3" fontId="0" fillId="0" borderId="0" xfId="0" applyNumberFormat="1"/>
    <xf numFmtId="3" fontId="0" fillId="0" borderId="0" xfId="0" applyNumberFormat="1" applyAlignment="1">
      <alignment horizontal="right"/>
    </xf>
    <xf numFmtId="9" fontId="16" fillId="2" borderId="5" xfId="7" applyFont="1" applyFill="1" applyBorder="1"/>
    <xf numFmtId="3" fontId="0" fillId="0" borderId="5" xfId="0" applyNumberFormat="1" applyBorder="1" applyAlignment="1">
      <alignment horizontal="right"/>
    </xf>
    <xf numFmtId="5" fontId="14" fillId="0" borderId="0" xfId="0" applyNumberFormat="1" applyFont="1" applyAlignment="1">
      <alignment horizontal="right"/>
    </xf>
    <xf numFmtId="172" fontId="5" fillId="0" borderId="0" xfId="0" applyNumberFormat="1" applyFont="1"/>
    <xf numFmtId="0" fontId="14" fillId="0" borderId="0" xfId="0" applyFont="1" applyProtection="1">
      <protection hidden="1"/>
    </xf>
    <xf numFmtId="41" fontId="9" fillId="0" borderId="0" xfId="0" applyNumberFormat="1" applyFont="1" applyAlignment="1">
      <alignment horizontal="center"/>
    </xf>
    <xf numFmtId="41" fontId="17" fillId="0" borderId="0" xfId="0" applyNumberFormat="1" applyFont="1" applyAlignment="1">
      <alignment horizontal="right"/>
    </xf>
    <xf numFmtId="0" fontId="17" fillId="0" borderId="0" xfId="0" applyFont="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right"/>
    </xf>
    <xf numFmtId="173" fontId="7" fillId="0" borderId="0" xfId="1" applyNumberFormat="1" applyFont="1" applyProtection="1"/>
    <xf numFmtId="173" fontId="9" fillId="0" borderId="0" xfId="1" applyNumberFormat="1" applyFont="1" applyProtection="1"/>
    <xf numFmtId="8" fontId="0" fillId="0" borderId="0" xfId="0" applyNumberFormat="1"/>
    <xf numFmtId="173" fontId="5" fillId="0" borderId="0" xfId="0" applyNumberFormat="1" applyFont="1"/>
    <xf numFmtId="173" fontId="14" fillId="0" borderId="0" xfId="1" applyNumberFormat="1" applyFont="1" applyFill="1" applyBorder="1"/>
    <xf numFmtId="10" fontId="9" fillId="0" borderId="0" xfId="0" applyNumberFormat="1" applyFont="1" applyAlignment="1">
      <alignment horizontal="left"/>
    </xf>
    <xf numFmtId="0" fontId="0" fillId="0" borderId="8" xfId="0" applyBorder="1"/>
    <xf numFmtId="0" fontId="4" fillId="0" borderId="9" xfId="0" applyFont="1" applyBorder="1"/>
    <xf numFmtId="10" fontId="9" fillId="0" borderId="9" xfId="0" applyNumberFormat="1" applyFont="1" applyBorder="1"/>
    <xf numFmtId="10" fontId="9" fillId="0" borderId="9" xfId="0" applyNumberFormat="1" applyFont="1" applyBorder="1" applyAlignment="1">
      <alignment horizontal="center"/>
    </xf>
    <xf numFmtId="10" fontId="9" fillId="0" borderId="10" xfId="0" applyNumberFormat="1" applyFont="1" applyBorder="1"/>
    <xf numFmtId="10" fontId="9" fillId="0" borderId="3" xfId="0" applyNumberFormat="1" applyFont="1" applyBorder="1"/>
    <xf numFmtId="0" fontId="4" fillId="0" borderId="11" xfId="0" applyFont="1" applyBorder="1"/>
    <xf numFmtId="10" fontId="9" fillId="0" borderId="10" xfId="0" applyNumberFormat="1" applyFont="1" applyBorder="1" applyAlignment="1">
      <alignment horizontal="right"/>
    </xf>
    <xf numFmtId="170" fontId="9" fillId="0" borderId="0" xfId="0" applyNumberFormat="1" applyFont="1"/>
    <xf numFmtId="165" fontId="9" fillId="0" borderId="0" xfId="0" applyNumberFormat="1" applyFont="1" applyAlignment="1">
      <alignment horizontal="left"/>
    </xf>
    <xf numFmtId="173" fontId="14" fillId="0" borderId="0" xfId="1" applyNumberFormat="1" applyFont="1"/>
    <xf numFmtId="5" fontId="14" fillId="0" borderId="0" xfId="0" applyNumberFormat="1" applyFont="1"/>
    <xf numFmtId="37" fontId="14" fillId="0" borderId="0" xfId="0" applyNumberFormat="1" applyFont="1"/>
    <xf numFmtId="0" fontId="20" fillId="0" borderId="0" xfId="0" applyFont="1" applyAlignment="1">
      <alignment wrapText="1"/>
    </xf>
    <xf numFmtId="0" fontId="4" fillId="0" borderId="9" xfId="0" applyFont="1" applyBorder="1" applyAlignment="1">
      <alignment horizontal="left"/>
    </xf>
    <xf numFmtId="3" fontId="14" fillId="0" borderId="9" xfId="0" applyNumberFormat="1" applyFont="1" applyBorder="1"/>
    <xf numFmtId="173" fontId="14" fillId="0" borderId="9" xfId="1" applyNumberFormat="1" applyFont="1" applyFill="1" applyBorder="1"/>
    <xf numFmtId="0" fontId="4" fillId="0" borderId="11" xfId="0" applyFont="1" applyBorder="1" applyAlignment="1">
      <alignment horizontal="left"/>
    </xf>
    <xf numFmtId="0" fontId="4" fillId="0" borderId="2" xfId="0" applyFont="1" applyBorder="1" applyAlignment="1">
      <alignment horizontal="left"/>
    </xf>
    <xf numFmtId="3" fontId="14" fillId="0" borderId="8" xfId="0" applyNumberFormat="1" applyFont="1" applyBorder="1"/>
    <xf numFmtId="37" fontId="26" fillId="0" borderId="0" xfId="0" applyNumberFormat="1" applyFont="1"/>
    <xf numFmtId="173" fontId="26" fillId="0" borderId="0" xfId="1" applyNumberFormat="1" applyFont="1" applyFill="1" applyBorder="1"/>
    <xf numFmtId="0" fontId="5" fillId="0" borderId="2" xfId="0" applyFont="1" applyBorder="1"/>
    <xf numFmtId="0" fontId="5" fillId="0" borderId="8" xfId="0" applyFont="1" applyBorder="1"/>
    <xf numFmtId="5" fontId="5" fillId="0" borderId="3" xfId="0" applyNumberFormat="1" applyFont="1" applyBorder="1"/>
    <xf numFmtId="37" fontId="4" fillId="0" borderId="9" xfId="0" applyNumberFormat="1" applyFont="1" applyBorder="1"/>
    <xf numFmtId="37" fontId="5" fillId="0" borderId="9" xfId="0" applyNumberFormat="1" applyFont="1" applyBorder="1"/>
    <xf numFmtId="0" fontId="0" fillId="0" borderId="9" xfId="0" applyBorder="1"/>
    <xf numFmtId="0" fontId="0" fillId="0" borderId="10" xfId="0" applyBorder="1"/>
    <xf numFmtId="37" fontId="5" fillId="0" borderId="2" xfId="0" applyNumberFormat="1" applyFont="1" applyBorder="1"/>
    <xf numFmtId="0" fontId="5" fillId="0" borderId="8" xfId="0" applyFont="1" applyBorder="1" applyAlignment="1">
      <alignment horizontal="right"/>
    </xf>
    <xf numFmtId="2" fontId="0" fillId="0" borderId="8" xfId="0" applyNumberFormat="1" applyBorder="1"/>
    <xf numFmtId="0" fontId="5" fillId="0" borderId="3" xfId="0" applyFont="1" applyBorder="1"/>
    <xf numFmtId="167" fontId="5" fillId="0" borderId="9" xfId="0" applyNumberFormat="1" applyFont="1" applyBorder="1"/>
    <xf numFmtId="0" fontId="5" fillId="0" borderId="9" xfId="0" applyFont="1" applyBorder="1"/>
    <xf numFmtId="0" fontId="5" fillId="0" borderId="12" xfId="0" applyFont="1" applyBorder="1"/>
    <xf numFmtId="169" fontId="5" fillId="2" borderId="13" xfId="2" applyNumberFormat="1" applyFont="1" applyFill="1" applyBorder="1" applyProtection="1"/>
    <xf numFmtId="2" fontId="0" fillId="2" borderId="14" xfId="0" applyNumberFormat="1" applyFill="1" applyBorder="1"/>
    <xf numFmtId="2" fontId="0" fillId="2" borderId="15" xfId="0" applyNumberFormat="1" applyFill="1" applyBorder="1"/>
    <xf numFmtId="0" fontId="5" fillId="0" borderId="0" xfId="0" applyFont="1" applyAlignment="1">
      <alignment horizontal="center"/>
    </xf>
    <xf numFmtId="0" fontId="5" fillId="0" borderId="0" xfId="0" applyFont="1" applyAlignment="1">
      <alignment horizontal="centerContinuous"/>
    </xf>
    <xf numFmtId="0" fontId="0" fillId="0" borderId="3" xfId="0" applyBorder="1"/>
    <xf numFmtId="0" fontId="0" fillId="0" borderId="2" xfId="0" applyBorder="1"/>
    <xf numFmtId="169" fontId="5" fillId="0" borderId="0" xfId="2" applyNumberFormat="1" applyFont="1" applyAlignment="1" applyProtection="1">
      <alignment horizontal="right"/>
    </xf>
    <xf numFmtId="169" fontId="16" fillId="0" borderId="0" xfId="2" applyNumberFormat="1" applyFont="1" applyAlignment="1" applyProtection="1">
      <alignment horizontal="right"/>
    </xf>
    <xf numFmtId="169" fontId="0" fillId="0" borderId="0" xfId="2" applyNumberFormat="1" applyFont="1" applyAlignment="1">
      <alignment horizontal="right"/>
    </xf>
    <xf numFmtId="169" fontId="16" fillId="0" borderId="0" xfId="2" applyNumberFormat="1" applyFont="1" applyAlignment="1">
      <alignment horizontal="right"/>
    </xf>
    <xf numFmtId="164" fontId="5" fillId="2" borderId="14" xfId="0" applyNumberFormat="1" applyFont="1" applyFill="1" applyBorder="1"/>
    <xf numFmtId="37" fontId="5" fillId="2" borderId="14" xfId="0" applyNumberFormat="1" applyFont="1" applyFill="1" applyBorder="1" applyAlignment="1">
      <alignment horizontal="right"/>
    </xf>
    <xf numFmtId="168" fontId="5" fillId="2" borderId="14" xfId="0" applyNumberFormat="1" applyFont="1" applyFill="1" applyBorder="1"/>
    <xf numFmtId="9" fontId="14" fillId="0" borderId="0" xfId="7" applyFont="1" applyFill="1" applyBorder="1"/>
    <xf numFmtId="173" fontId="14" fillId="0" borderId="8" xfId="1" applyNumberFormat="1" applyFont="1" applyFill="1" applyBorder="1"/>
    <xf numFmtId="0" fontId="4" fillId="0" borderId="0" xfId="0" applyFont="1" applyAlignment="1">
      <alignment wrapText="1"/>
    </xf>
    <xf numFmtId="0" fontId="5" fillId="0" borderId="16" xfId="0" applyFont="1" applyBorder="1"/>
    <xf numFmtId="0" fontId="5" fillId="0" borderId="16" xfId="0" applyFont="1" applyBorder="1" applyAlignment="1">
      <alignment horizontal="center"/>
    </xf>
    <xf numFmtId="10" fontId="0" fillId="0" borderId="8" xfId="0" applyNumberFormat="1" applyBorder="1"/>
    <xf numFmtId="0" fontId="0" fillId="0" borderId="0" xfId="0" applyAlignment="1">
      <alignment horizontal="center"/>
    </xf>
    <xf numFmtId="0" fontId="5" fillId="0" borderId="14" xfId="0" applyFont="1" applyBorder="1" applyAlignment="1">
      <alignment horizontal="left"/>
    </xf>
    <xf numFmtId="3" fontId="4" fillId="0" borderId="0" xfId="0" applyNumberFormat="1" applyFont="1" applyAlignment="1">
      <alignment horizontal="centerContinuous"/>
    </xf>
    <xf numFmtId="170" fontId="14" fillId="0" borderId="0" xfId="0" applyNumberFormat="1" applyFont="1"/>
    <xf numFmtId="10" fontId="5" fillId="2" borderId="0" xfId="0" applyNumberFormat="1" applyFont="1" applyFill="1"/>
    <xf numFmtId="170" fontId="2" fillId="0" borderId="0" xfId="6" applyNumberFormat="1"/>
    <xf numFmtId="0" fontId="2" fillId="0" borderId="0" xfId="6"/>
    <xf numFmtId="0" fontId="32" fillId="0" borderId="0" xfId="6" applyFont="1" applyAlignment="1">
      <alignment horizontal="left"/>
    </xf>
    <xf numFmtId="0" fontId="32" fillId="0" borderId="0" xfId="6" applyFont="1"/>
    <xf numFmtId="0" fontId="32" fillId="0" borderId="0" xfId="6" applyFont="1" applyAlignment="1">
      <alignment horizontal="center"/>
    </xf>
    <xf numFmtId="0" fontId="2" fillId="0" borderId="0" xfId="6" applyAlignment="1">
      <alignment horizontal="left"/>
    </xf>
    <xf numFmtId="170" fontId="2" fillId="0" borderId="4" xfId="6" applyNumberFormat="1" applyBorder="1" applyAlignment="1">
      <alignment horizontal="center"/>
    </xf>
    <xf numFmtId="0" fontId="2" fillId="0" borderId="0" xfId="6" applyAlignment="1">
      <alignment horizontal="center"/>
    </xf>
    <xf numFmtId="3" fontId="2" fillId="0" borderId="4" xfId="6" applyNumberFormat="1" applyBorder="1" applyAlignment="1">
      <alignment horizontal="center"/>
    </xf>
    <xf numFmtId="3" fontId="32" fillId="0" borderId="4" xfId="6" applyNumberFormat="1" applyFont="1" applyBorder="1" applyAlignment="1">
      <alignment horizontal="center"/>
    </xf>
    <xf numFmtId="0" fontId="33" fillId="0" borderId="0" xfId="6" applyFont="1" applyAlignment="1">
      <alignment horizontal="center" wrapText="1"/>
    </xf>
    <xf numFmtId="0" fontId="33" fillId="0" borderId="0" xfId="6" applyFont="1" applyAlignment="1">
      <alignment wrapText="1"/>
    </xf>
    <xf numFmtId="0" fontId="32" fillId="0" borderId="0" xfId="6" applyFont="1" applyAlignment="1">
      <alignment horizontal="center" wrapText="1"/>
    </xf>
    <xf numFmtId="0" fontId="33" fillId="0" borderId="0" xfId="6" applyFont="1" applyAlignment="1">
      <alignment horizontal="left"/>
    </xf>
    <xf numFmtId="0" fontId="33" fillId="0" borderId="0" xfId="6" applyFont="1"/>
    <xf numFmtId="0" fontId="2" fillId="0" borderId="4" xfId="6" applyBorder="1" applyAlignment="1" applyProtection="1">
      <alignment horizontal="center"/>
      <protection locked="0"/>
    </xf>
    <xf numFmtId="170" fontId="32" fillId="0" borderId="4" xfId="6" applyNumberFormat="1" applyFont="1" applyBorder="1" applyAlignment="1">
      <alignment horizontal="center"/>
    </xf>
    <xf numFmtId="170" fontId="2" fillId="0" borderId="17" xfId="6" applyNumberFormat="1" applyBorder="1" applyProtection="1">
      <protection locked="0"/>
    </xf>
    <xf numFmtId="170" fontId="32" fillId="0" borderId="17" xfId="6" applyNumberFormat="1" applyFont="1" applyBorder="1"/>
    <xf numFmtId="170" fontId="32" fillId="0" borderId="0" xfId="6" applyNumberFormat="1" applyFont="1"/>
    <xf numFmtId="170" fontId="2" fillId="0" borderId="0" xfId="6" applyNumberFormat="1" applyProtection="1">
      <protection locked="0"/>
    </xf>
    <xf numFmtId="3" fontId="2" fillId="0" borderId="0" xfId="6" applyNumberFormat="1"/>
    <xf numFmtId="0" fontId="32" fillId="0" borderId="0" xfId="6" applyFont="1" applyAlignment="1">
      <alignment wrapText="1"/>
    </xf>
    <xf numFmtId="41" fontId="25" fillId="2" borderId="0" xfId="0" applyNumberFormat="1" applyFont="1" applyFill="1"/>
    <xf numFmtId="0" fontId="31" fillId="0" borderId="0" xfId="6" applyFont="1"/>
    <xf numFmtId="0" fontId="32" fillId="0" borderId="0" xfId="6" applyFont="1" applyAlignment="1">
      <alignment horizontal="right"/>
    </xf>
    <xf numFmtId="0" fontId="32" fillId="3" borderId="0" xfId="6" applyFont="1" applyFill="1"/>
    <xf numFmtId="0" fontId="14" fillId="0" borderId="0" xfId="6" applyFont="1"/>
    <xf numFmtId="0" fontId="14" fillId="3" borderId="0" xfId="6" applyFont="1" applyFill="1"/>
    <xf numFmtId="0" fontId="14" fillId="4" borderId="17" xfId="5" applyFont="1" applyFill="1" applyBorder="1" applyAlignment="1">
      <alignment horizontal="center"/>
    </xf>
    <xf numFmtId="0" fontId="4" fillId="0" borderId="8" xfId="0" applyFont="1" applyBorder="1" applyAlignment="1">
      <alignment horizontal="right"/>
    </xf>
    <xf numFmtId="164" fontId="4" fillId="0" borderId="0" xfId="0" applyNumberFormat="1" applyFont="1" applyAlignment="1">
      <alignment horizontal="left"/>
    </xf>
    <xf numFmtId="173" fontId="4" fillId="0" borderId="3" xfId="0" applyNumberFormat="1" applyFont="1" applyBorder="1"/>
    <xf numFmtId="0" fontId="0" fillId="4" borderId="0" xfId="0" applyFill="1"/>
    <xf numFmtId="0" fontId="0" fillId="0" borderId="0" xfId="0" applyAlignment="1">
      <alignment horizontal="left" indent="1"/>
    </xf>
    <xf numFmtId="0" fontId="36" fillId="0" borderId="0" xfId="0" applyFont="1"/>
    <xf numFmtId="169" fontId="0" fillId="0" borderId="0" xfId="0" applyNumberFormat="1"/>
    <xf numFmtId="0" fontId="14" fillId="4" borderId="0" xfId="0" applyFont="1" applyFill="1"/>
    <xf numFmtId="174" fontId="5" fillId="0" borderId="8" xfId="0" applyNumberFormat="1" applyFont="1" applyBorder="1"/>
    <xf numFmtId="173" fontId="5" fillId="0" borderId="0" xfId="1" applyNumberFormat="1" applyFont="1" applyProtection="1"/>
    <xf numFmtId="173" fontId="0" fillId="0" borderId="0" xfId="0" applyNumberFormat="1"/>
    <xf numFmtId="173" fontId="37" fillId="0" borderId="0" xfId="1" applyNumberFormat="1" applyFont="1"/>
    <xf numFmtId="173" fontId="37" fillId="0" borderId="0" xfId="1" applyNumberFormat="1" applyFont="1" applyProtection="1"/>
    <xf numFmtId="0" fontId="14" fillId="0" borderId="0" xfId="0" applyFont="1" applyAlignment="1">
      <alignment horizontal="left" indent="2"/>
    </xf>
    <xf numFmtId="168" fontId="5" fillId="2" borderId="15" xfId="0" applyNumberFormat="1" applyFont="1" applyFill="1" applyBorder="1"/>
    <xf numFmtId="169" fontId="5" fillId="0" borderId="0" xfId="0" applyNumberFormat="1" applyFont="1"/>
    <xf numFmtId="170" fontId="0" fillId="0" borderId="0" xfId="0" applyNumberFormat="1"/>
    <xf numFmtId="170" fontId="0" fillId="0" borderId="8" xfId="0" applyNumberFormat="1" applyBorder="1"/>
    <xf numFmtId="0" fontId="41" fillId="0" borderId="0" xfId="0" applyFont="1" applyAlignment="1">
      <alignment horizontal="center" wrapText="1"/>
    </xf>
    <xf numFmtId="0" fontId="41" fillId="0" borderId="0" xfId="0" applyFont="1"/>
    <xf numFmtId="37" fontId="35" fillId="0" borderId="0" xfId="0" applyNumberFormat="1" applyFont="1"/>
    <xf numFmtId="3" fontId="35" fillId="0" borderId="0" xfId="0" applyNumberFormat="1" applyFont="1"/>
    <xf numFmtId="0" fontId="35" fillId="0" borderId="0" xfId="0" applyFont="1"/>
    <xf numFmtId="0" fontId="32" fillId="0" borderId="0" xfId="0" applyFont="1"/>
    <xf numFmtId="0" fontId="2" fillId="0" borderId="4" xfId="6" applyBorder="1"/>
    <xf numFmtId="0" fontId="2" fillId="0" borderId="17" xfId="6" applyBorder="1"/>
    <xf numFmtId="173" fontId="14" fillId="5" borderId="6" xfId="1" applyNumberFormat="1" applyFont="1" applyFill="1" applyBorder="1"/>
    <xf numFmtId="169" fontId="5" fillId="0" borderId="0" xfId="2" applyNumberFormat="1" applyFont="1" applyFill="1" applyAlignment="1" applyProtection="1">
      <alignment horizontal="right"/>
    </xf>
    <xf numFmtId="0" fontId="16" fillId="4" borderId="6" xfId="5" applyFont="1" applyFill="1" applyBorder="1" applyAlignment="1">
      <alignment horizontal="center" wrapText="1"/>
    </xf>
    <xf numFmtId="0" fontId="40" fillId="0" borderId="0" xfId="0" applyFont="1"/>
    <xf numFmtId="0" fontId="16" fillId="0" borderId="0" xfId="0" applyFont="1" applyAlignment="1">
      <alignment horizontal="center" vertical="center" wrapText="1"/>
    </xf>
    <xf numFmtId="0" fontId="4" fillId="0" borderId="25" xfId="0" applyFont="1" applyBorder="1"/>
    <xf numFmtId="0" fontId="4" fillId="0" borderId="26" xfId="0" applyFont="1" applyBorder="1" applyAlignment="1">
      <alignment horizontal="right"/>
    </xf>
    <xf numFmtId="0" fontId="4" fillId="0" borderId="26" xfId="0" applyFont="1" applyBorder="1"/>
    <xf numFmtId="169" fontId="4" fillId="0" borderId="26" xfId="0" applyNumberFormat="1" applyFont="1" applyBorder="1"/>
    <xf numFmtId="0" fontId="0" fillId="0" borderId="28" xfId="0" applyBorder="1"/>
    <xf numFmtId="0" fontId="0" fillId="0" borderId="29" xfId="0" applyBorder="1"/>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9" fontId="16" fillId="0" borderId="40" xfId="0" applyNumberFormat="1" applyFont="1" applyBorder="1" applyAlignment="1">
      <alignment horizontal="center"/>
    </xf>
    <xf numFmtId="1" fontId="4" fillId="0" borderId="0" xfId="0" applyNumberFormat="1" applyFont="1" applyAlignment="1">
      <alignment horizontal="center"/>
    </xf>
    <xf numFmtId="3" fontId="4" fillId="0" borderId="0" xfId="0" applyNumberFormat="1" applyFont="1" applyAlignment="1">
      <alignment horizontal="center"/>
    </xf>
    <xf numFmtId="3" fontId="41" fillId="0" borderId="18" xfId="0" applyNumberFormat="1" applyFont="1" applyBorder="1" applyAlignment="1">
      <alignment horizontal="center"/>
    </xf>
    <xf numFmtId="1" fontId="5" fillId="0" borderId="14" xfId="0" applyNumberFormat="1" applyFont="1" applyBorder="1" applyAlignment="1">
      <alignment horizontal="center"/>
    </xf>
    <xf numFmtId="1" fontId="16" fillId="5" borderId="7" xfId="7" applyNumberFormat="1" applyFont="1" applyFill="1" applyBorder="1" applyAlignment="1">
      <alignment horizontal="right"/>
    </xf>
    <xf numFmtId="0" fontId="42" fillId="0" borderId="0" xfId="0" applyFont="1"/>
    <xf numFmtId="0" fontId="11" fillId="0" borderId="2" xfId="0" applyFont="1" applyBorder="1" applyAlignment="1">
      <alignment vertical="center"/>
    </xf>
    <xf numFmtId="0" fontId="5" fillId="0" borderId="8" xfId="0" applyFont="1" applyBorder="1" applyAlignment="1">
      <alignment vertical="center"/>
    </xf>
    <xf numFmtId="0" fontId="4" fillId="0" borderId="8" xfId="0" applyFont="1" applyBorder="1" applyAlignment="1">
      <alignment horizontal="right" vertical="center"/>
    </xf>
    <xf numFmtId="0" fontId="5" fillId="0" borderId="3" xfId="0" applyFont="1" applyBorder="1" applyAlignment="1">
      <alignment vertical="center"/>
    </xf>
    <xf numFmtId="0" fontId="5" fillId="0" borderId="0" xfId="0" applyFont="1" applyAlignment="1">
      <alignment vertical="center"/>
    </xf>
    <xf numFmtId="0" fontId="0" fillId="0" borderId="0" xfId="0" applyAlignment="1">
      <alignment vertical="center"/>
    </xf>
    <xf numFmtId="169" fontId="0" fillId="0" borderId="0" xfId="2" applyNumberFormat="1" applyFont="1" applyBorder="1" applyAlignment="1">
      <alignment vertical="center"/>
    </xf>
    <xf numFmtId="5" fontId="5" fillId="0" borderId="0" xfId="0" applyNumberFormat="1" applyFont="1" applyAlignment="1">
      <alignment vertical="center"/>
    </xf>
    <xf numFmtId="5" fontId="0" fillId="0" borderId="0" xfId="0" applyNumberFormat="1" applyAlignment="1">
      <alignment vertical="center"/>
    </xf>
    <xf numFmtId="0" fontId="12" fillId="0" borderId="0" xfId="0" applyFont="1" applyAlignment="1">
      <alignment vertical="center"/>
    </xf>
    <xf numFmtId="5" fontId="0" fillId="0" borderId="0" xfId="2" applyNumberFormat="1" applyFont="1" applyBorder="1" applyAlignment="1">
      <alignment vertical="center"/>
    </xf>
    <xf numFmtId="4" fontId="12" fillId="0" borderId="7" xfId="0" applyNumberFormat="1" applyFont="1" applyBorder="1" applyAlignment="1">
      <alignment vertical="center"/>
    </xf>
    <xf numFmtId="0" fontId="0" fillId="0" borderId="8" xfId="0" applyBorder="1" applyAlignment="1">
      <alignment vertical="center"/>
    </xf>
    <xf numFmtId="0" fontId="0" fillId="0" borderId="43" xfId="0" applyBorder="1" applyAlignment="1">
      <alignment vertical="center"/>
    </xf>
    <xf numFmtId="0" fontId="16" fillId="0" borderId="44" xfId="0" applyFont="1" applyBorder="1" applyAlignment="1">
      <alignment horizontal="center" vertical="center"/>
    </xf>
    <xf numFmtId="0" fontId="0" fillId="0" borderId="45" xfId="0" applyBorder="1" applyAlignment="1">
      <alignment vertical="center"/>
    </xf>
    <xf numFmtId="0" fontId="5" fillId="2" borderId="14" xfId="0" applyFont="1" applyFill="1" applyBorder="1" applyAlignment="1">
      <alignment horizontal="center" vertical="center"/>
    </xf>
    <xf numFmtId="0" fontId="5" fillId="0" borderId="28" xfId="0" applyFont="1" applyBorder="1" applyAlignment="1">
      <alignment horizontal="right" vertical="center"/>
    </xf>
    <xf numFmtId="6" fontId="0" fillId="0" borderId="0" xfId="0" applyNumberFormat="1" applyAlignment="1">
      <alignment horizontal="center" vertical="center"/>
    </xf>
    <xf numFmtId="0" fontId="5" fillId="0" borderId="39" xfId="0" applyFont="1" applyBorder="1" applyAlignment="1">
      <alignment vertical="center"/>
    </xf>
    <xf numFmtId="0" fontId="5" fillId="0" borderId="29" xfId="0" applyFont="1" applyBorder="1" applyAlignment="1">
      <alignment horizontal="right" vertical="center"/>
    </xf>
    <xf numFmtId="6" fontId="0" fillId="0" borderId="40" xfId="0" applyNumberFormat="1" applyBorder="1" applyAlignment="1">
      <alignment horizontal="center" vertical="center"/>
    </xf>
    <xf numFmtId="0" fontId="5" fillId="0" borderId="41" xfId="0" applyFont="1" applyBorder="1" applyAlignment="1">
      <alignment vertical="center"/>
    </xf>
    <xf numFmtId="0" fontId="5" fillId="0" borderId="0" xfId="0" applyFont="1" applyAlignment="1">
      <alignment horizontal="center" vertical="center"/>
    </xf>
    <xf numFmtId="4" fontId="24" fillId="0" borderId="2" xfId="0" applyNumberFormat="1" applyFont="1" applyBorder="1" applyAlignment="1">
      <alignment vertical="center"/>
    </xf>
    <xf numFmtId="0" fontId="5" fillId="0" borderId="0" xfId="0" applyFont="1" applyAlignment="1">
      <alignment horizontal="right" vertical="center"/>
    </xf>
    <xf numFmtId="169" fontId="5" fillId="0" borderId="0" xfId="2" applyNumberFormat="1" applyFont="1" applyBorder="1" applyAlignment="1" applyProtection="1">
      <alignment vertical="center"/>
    </xf>
    <xf numFmtId="0" fontId="24" fillId="0" borderId="0" xfId="0" applyFont="1" applyAlignment="1">
      <alignment vertical="center"/>
    </xf>
    <xf numFmtId="9" fontId="12" fillId="0" borderId="0" xfId="0" applyNumberFormat="1" applyFont="1" applyAlignment="1">
      <alignment vertical="center"/>
    </xf>
    <xf numFmtId="169" fontId="16" fillId="0" borderId="0" xfId="2" applyNumberFormat="1" applyFont="1" applyFill="1" applyBorder="1" applyAlignment="1">
      <alignment vertical="center"/>
    </xf>
    <xf numFmtId="10" fontId="12" fillId="0" borderId="0" xfId="0" applyNumberFormat="1" applyFont="1" applyAlignment="1">
      <alignment vertical="center"/>
    </xf>
    <xf numFmtId="9" fontId="5" fillId="0" borderId="0" xfId="0" applyNumberFormat="1" applyFont="1" applyAlignment="1">
      <alignment vertical="center"/>
    </xf>
    <xf numFmtId="0" fontId="0" fillId="2" borderId="0" xfId="0" applyFill="1" applyAlignment="1">
      <alignment vertical="center"/>
    </xf>
    <xf numFmtId="0" fontId="4" fillId="0" borderId="6" xfId="0" applyFont="1" applyBorder="1" applyAlignment="1">
      <alignment vertical="center"/>
    </xf>
    <xf numFmtId="0" fontId="0" fillId="0" borderId="6" xfId="0" applyBorder="1" applyAlignment="1">
      <alignment vertical="center"/>
    </xf>
    <xf numFmtId="169" fontId="0" fillId="0" borderId="0" xfId="2" applyNumberFormat="1" applyFont="1" applyFill="1" applyBorder="1" applyAlignment="1">
      <alignment vertical="center"/>
    </xf>
    <xf numFmtId="6" fontId="0" fillId="0" borderId="0" xfId="0" applyNumberFormat="1" applyAlignment="1">
      <alignment vertical="center"/>
    </xf>
    <xf numFmtId="169" fontId="4" fillId="0" borderId="0" xfId="0" applyNumberFormat="1" applyFont="1" applyAlignment="1">
      <alignment vertical="center"/>
    </xf>
    <xf numFmtId="5" fontId="4" fillId="0" borderId="0" xfId="0" applyNumberFormat="1" applyFont="1" applyAlignment="1">
      <alignment vertical="center"/>
    </xf>
    <xf numFmtId="7" fontId="5" fillId="0" borderId="0" xfId="0" applyNumberFormat="1" applyFont="1" applyAlignment="1">
      <alignment vertical="center"/>
    </xf>
    <xf numFmtId="5" fontId="5" fillId="2" borderId="14" xfId="0" applyNumberFormat="1" applyFont="1" applyFill="1" applyBorder="1" applyAlignment="1">
      <alignment vertical="center"/>
    </xf>
    <xf numFmtId="0" fontId="5" fillId="0" borderId="2" xfId="0" applyFont="1" applyBorder="1" applyAlignment="1">
      <alignment vertical="center"/>
    </xf>
    <xf numFmtId="5" fontId="4" fillId="0" borderId="8" xfId="0" applyNumberFormat="1" applyFont="1" applyBorder="1" applyAlignment="1">
      <alignment vertical="center"/>
    </xf>
    <xf numFmtId="0" fontId="4" fillId="0" borderId="3" xfId="0" applyFont="1" applyBorder="1" applyAlignment="1">
      <alignment vertical="center"/>
    </xf>
    <xf numFmtId="0" fontId="5" fillId="0" borderId="0" xfId="0" applyFont="1" applyAlignment="1">
      <alignment horizontal="left"/>
    </xf>
    <xf numFmtId="0" fontId="27" fillId="0" borderId="46" xfId="0" applyFont="1" applyBorder="1"/>
    <xf numFmtId="0" fontId="7" fillId="0" borderId="47" xfId="0" applyFont="1" applyBorder="1"/>
    <xf numFmtId="0" fontId="7" fillId="0" borderId="48" xfId="0" applyFont="1" applyBorder="1"/>
    <xf numFmtId="41" fontId="4" fillId="2" borderId="49" xfId="0" applyNumberFormat="1" applyFont="1" applyFill="1" applyBorder="1"/>
    <xf numFmtId="43" fontId="9" fillId="0" borderId="50" xfId="0" applyNumberFormat="1" applyFont="1" applyBorder="1"/>
    <xf numFmtId="0" fontId="9" fillId="0" borderId="51" xfId="0" applyFont="1" applyBorder="1"/>
    <xf numFmtId="0" fontId="7" fillId="0" borderId="24" xfId="0" applyFont="1" applyBorder="1"/>
    <xf numFmtId="0" fontId="27" fillId="0" borderId="24" xfId="0" applyFont="1" applyBorder="1"/>
    <xf numFmtId="0" fontId="28" fillId="0" borderId="24" xfId="0" applyFont="1" applyBorder="1" applyAlignment="1">
      <alignment horizontal="right"/>
    </xf>
    <xf numFmtId="0" fontId="24" fillId="0" borderId="24" xfId="0" applyFont="1" applyBorder="1"/>
    <xf numFmtId="0" fontId="28" fillId="0" borderId="24" xfId="0" applyFont="1" applyBorder="1"/>
    <xf numFmtId="0" fontId="9" fillId="0" borderId="39" xfId="0" applyFont="1" applyBorder="1"/>
    <xf numFmtId="10" fontId="9" fillId="0" borderId="39" xfId="0" applyNumberFormat="1" applyFont="1" applyBorder="1"/>
    <xf numFmtId="0" fontId="5" fillId="0" borderId="24" xfId="0" applyFont="1" applyBorder="1"/>
    <xf numFmtId="5" fontId="14" fillId="0" borderId="39" xfId="0" applyNumberFormat="1" applyFont="1" applyBorder="1" applyAlignment="1">
      <alignment horizontal="right"/>
    </xf>
    <xf numFmtId="0" fontId="4" fillId="0" borderId="24" xfId="0" applyFont="1" applyBorder="1" applyAlignment="1">
      <alignment horizontal="right"/>
    </xf>
    <xf numFmtId="168" fontId="9" fillId="0" borderId="39" xfId="0" applyNumberFormat="1" applyFont="1" applyBorder="1"/>
    <xf numFmtId="7" fontId="9" fillId="0" borderId="39" xfId="0" applyNumberFormat="1" applyFont="1" applyBorder="1"/>
    <xf numFmtId="0" fontId="28" fillId="0" borderId="52" xfId="0" applyFont="1" applyBorder="1"/>
    <xf numFmtId="41" fontId="4" fillId="0" borderId="55" xfId="0" applyNumberFormat="1" applyFont="1" applyBorder="1"/>
    <xf numFmtId="41" fontId="25" fillId="2" borderId="13" xfId="0" applyNumberFormat="1" applyFont="1" applyFill="1" applyBorder="1"/>
    <xf numFmtId="41" fontId="25" fillId="2" borderId="56" xfId="0" applyNumberFormat="1" applyFont="1" applyFill="1" applyBorder="1"/>
    <xf numFmtId="41" fontId="25" fillId="2" borderId="55" xfId="0" applyNumberFormat="1" applyFont="1" applyFill="1" applyBorder="1"/>
    <xf numFmtId="0" fontId="16" fillId="0" borderId="0" xfId="0" applyFont="1" applyAlignment="1">
      <alignment horizontal="center"/>
    </xf>
    <xf numFmtId="0" fontId="14" fillId="0" borderId="0" xfId="0" applyFont="1" applyAlignment="1">
      <alignment horizontal="center"/>
    </xf>
    <xf numFmtId="9" fontId="14" fillId="2" borderId="58" xfId="7" applyFont="1" applyFill="1" applyBorder="1" applyAlignment="1">
      <alignment horizontal="right"/>
    </xf>
    <xf numFmtId="0" fontId="35" fillId="4" borderId="59" xfId="5" applyFont="1" applyFill="1" applyBorder="1" applyAlignment="1">
      <alignment horizontal="center"/>
    </xf>
    <xf numFmtId="0" fontId="5" fillId="0" borderId="6" xfId="0" applyFont="1" applyBorder="1"/>
    <xf numFmtId="0" fontId="4" fillId="0" borderId="22" xfId="0" applyFont="1" applyBorder="1" applyAlignment="1">
      <alignment horizontal="right" vertical="center"/>
    </xf>
    <xf numFmtId="5" fontId="5" fillId="2" borderId="6" xfId="0" applyNumberFormat="1" applyFont="1" applyFill="1" applyBorder="1" applyAlignment="1">
      <alignment vertical="center"/>
    </xf>
    <xf numFmtId="5" fontId="16" fillId="2" borderId="0" xfId="0" applyNumberFormat="1" applyFont="1" applyFill="1" applyAlignment="1">
      <alignment vertical="center"/>
    </xf>
    <xf numFmtId="5" fontId="5" fillId="2" borderId="0" xfId="0" applyNumberFormat="1" applyFont="1" applyFill="1" applyAlignment="1">
      <alignment vertical="center"/>
    </xf>
    <xf numFmtId="5" fontId="5" fillId="0" borderId="0" xfId="7" applyNumberFormat="1" applyFont="1" applyBorder="1" applyAlignment="1" applyProtection="1">
      <alignment vertical="center"/>
    </xf>
    <xf numFmtId="10" fontId="16" fillId="2" borderId="0" xfId="0" applyNumberFormat="1" applyFont="1" applyFill="1" applyAlignment="1">
      <alignment horizontal="right" vertical="center"/>
    </xf>
    <xf numFmtId="0" fontId="5" fillId="0" borderId="6" xfId="0" applyFont="1" applyBorder="1" applyAlignment="1">
      <alignment horizontal="center"/>
    </xf>
    <xf numFmtId="0" fontId="5" fillId="0" borderId="22" xfId="0" applyFont="1" applyBorder="1" applyAlignment="1">
      <alignment horizontal="center"/>
    </xf>
    <xf numFmtId="37" fontId="4" fillId="0" borderId="16" xfId="0" applyNumberFormat="1" applyFont="1" applyBorder="1"/>
    <xf numFmtId="169" fontId="5" fillId="2" borderId="60" xfId="2" applyNumberFormat="1" applyFont="1" applyFill="1" applyBorder="1" applyProtection="1"/>
    <xf numFmtId="6" fontId="16" fillId="0" borderId="0" xfId="0" applyNumberFormat="1" applyFont="1" applyAlignment="1">
      <alignment vertical="center"/>
    </xf>
    <xf numFmtId="6" fontId="16" fillId="0" borderId="6" xfId="0" applyNumberFormat="1" applyFont="1" applyBorder="1" applyAlignment="1">
      <alignment vertical="center"/>
    </xf>
    <xf numFmtId="4" fontId="16" fillId="0" borderId="1" xfId="0" applyNumberFormat="1" applyFont="1" applyBorder="1" applyAlignment="1">
      <alignment vertical="center"/>
    </xf>
    <xf numFmtId="9" fontId="36" fillId="0" borderId="0" xfId="8" applyFont="1" applyFill="1" applyBorder="1" applyAlignment="1">
      <alignment horizontal="left"/>
    </xf>
    <xf numFmtId="0" fontId="16" fillId="0" borderId="0" xfId="9"/>
    <xf numFmtId="0" fontId="16" fillId="0" borderId="0" xfId="9" applyAlignment="1">
      <alignment horizontal="center"/>
    </xf>
    <xf numFmtId="0" fontId="16" fillId="0" borderId="0" xfId="9" applyAlignment="1">
      <alignment horizontal="left"/>
    </xf>
    <xf numFmtId="0" fontId="16" fillId="0" borderId="61" xfId="9" applyBorder="1"/>
    <xf numFmtId="0" fontId="16" fillId="0" borderId="0" xfId="5" applyFont="1" applyAlignment="1">
      <alignment horizontal="center"/>
    </xf>
    <xf numFmtId="170" fontId="1" fillId="0" borderId="0" xfId="10" applyNumberFormat="1" applyAlignment="1">
      <alignment horizontal="center"/>
    </xf>
    <xf numFmtId="170" fontId="16" fillId="0" borderId="0" xfId="9" applyNumberFormat="1"/>
    <xf numFmtId="0" fontId="14" fillId="0" borderId="0" xfId="9" applyFont="1"/>
    <xf numFmtId="0" fontId="16" fillId="0" borderId="61" xfId="9" applyBorder="1" applyAlignment="1">
      <alignment horizontal="left"/>
    </xf>
    <xf numFmtId="0" fontId="16" fillId="9" borderId="63" xfId="9" applyFill="1" applyBorder="1"/>
    <xf numFmtId="0" fontId="16" fillId="9" borderId="61" xfId="9" applyFill="1" applyBorder="1"/>
    <xf numFmtId="0" fontId="16" fillId="9" borderId="64" xfId="9" applyFill="1" applyBorder="1" applyAlignment="1">
      <alignment horizontal="center"/>
    </xf>
    <xf numFmtId="176" fontId="36" fillId="9" borderId="63" xfId="9" applyNumberFormat="1" applyFont="1" applyFill="1" applyBorder="1"/>
    <xf numFmtId="176" fontId="36" fillId="9" borderId="61" xfId="9" applyNumberFormat="1" applyFont="1" applyFill="1" applyBorder="1"/>
    <xf numFmtId="0" fontId="16" fillId="9" borderId="0" xfId="9" applyFill="1" applyAlignment="1">
      <alignment horizontal="center"/>
    </xf>
    <xf numFmtId="0" fontId="16" fillId="9" borderId="0" xfId="9" applyFill="1"/>
    <xf numFmtId="177" fontId="16" fillId="9" borderId="0" xfId="9" applyNumberFormat="1" applyFill="1" applyAlignment="1">
      <alignment horizontal="center"/>
    </xf>
    <xf numFmtId="177" fontId="16" fillId="0" borderId="0" xfId="9" applyNumberFormat="1" applyAlignment="1">
      <alignment horizontal="center"/>
    </xf>
    <xf numFmtId="170" fontId="1" fillId="0" borderId="0" xfId="11" applyNumberFormat="1" applyAlignment="1">
      <alignment horizontal="center"/>
    </xf>
    <xf numFmtId="0" fontId="16" fillId="9" borderId="65" xfId="9" applyFill="1" applyBorder="1" applyAlignment="1">
      <alignment horizontal="center"/>
    </xf>
    <xf numFmtId="0" fontId="16" fillId="9" borderId="62" xfId="5" applyFont="1" applyFill="1" applyBorder="1" applyAlignment="1">
      <alignment horizontal="center"/>
    </xf>
    <xf numFmtId="9" fontId="16" fillId="9" borderId="62" xfId="5" applyNumberFormat="1" applyFont="1" applyFill="1" applyBorder="1" applyAlignment="1">
      <alignment horizontal="center"/>
    </xf>
    <xf numFmtId="178" fontId="16" fillId="9" borderId="62" xfId="9" applyNumberFormat="1" applyFill="1" applyBorder="1" applyAlignment="1">
      <alignment horizontal="center" wrapText="1"/>
    </xf>
    <xf numFmtId="0" fontId="16" fillId="0" borderId="0" xfId="5" applyFont="1" applyAlignment="1">
      <alignment horizontal="center" wrapText="1"/>
    </xf>
    <xf numFmtId="3" fontId="16" fillId="0" borderId="0" xfId="9" applyNumberFormat="1" applyAlignment="1">
      <alignment horizontal="center"/>
    </xf>
    <xf numFmtId="6" fontId="16" fillId="0" borderId="0" xfId="9" applyNumberFormat="1"/>
    <xf numFmtId="3" fontId="16" fillId="0" borderId="0" xfId="9" applyNumberFormat="1"/>
    <xf numFmtId="14" fontId="16" fillId="0" borderId="0" xfId="9" applyNumberFormat="1"/>
    <xf numFmtId="0" fontId="43" fillId="0" borderId="0" xfId="9" applyFont="1"/>
    <xf numFmtId="168" fontId="16" fillId="0" borderId="0" xfId="0" applyNumberFormat="1" applyFont="1" applyAlignment="1">
      <alignment vertical="center"/>
    </xf>
    <xf numFmtId="0" fontId="44" fillId="6" borderId="5" xfId="0" applyFont="1" applyFill="1" applyBorder="1" applyAlignment="1">
      <alignment horizontal="center"/>
    </xf>
    <xf numFmtId="0" fontId="0" fillId="0" borderId="0" xfId="0" applyAlignment="1">
      <alignment horizontal="right" vertical="center"/>
    </xf>
    <xf numFmtId="6" fontId="16" fillId="0" borderId="39" xfId="0" applyNumberFormat="1" applyFont="1" applyBorder="1" applyAlignment="1">
      <alignment horizontal="center" vertical="center"/>
    </xf>
    <xf numFmtId="6" fontId="16" fillId="0" borderId="41" xfId="0" applyNumberFormat="1" applyFont="1" applyBorder="1" applyAlignment="1">
      <alignment horizontal="center" vertical="center"/>
    </xf>
    <xf numFmtId="0" fontId="0" fillId="0" borderId="28" xfId="0" applyBorder="1" applyAlignment="1">
      <alignment horizontal="right" vertical="center"/>
    </xf>
    <xf numFmtId="0" fontId="0" fillId="0" borderId="40" xfId="0" applyBorder="1" applyAlignment="1">
      <alignment horizontal="right" vertical="center"/>
    </xf>
    <xf numFmtId="0" fontId="0" fillId="0" borderId="28" xfId="0" applyBorder="1" applyAlignment="1">
      <alignment vertical="center"/>
    </xf>
    <xf numFmtId="0" fontId="0" fillId="0" borderId="29" xfId="0" applyBorder="1" applyAlignment="1">
      <alignment vertical="center"/>
    </xf>
    <xf numFmtId="0" fontId="16" fillId="0" borderId="0" xfId="0" applyFont="1" applyAlignment="1">
      <alignment horizontal="right" vertical="center"/>
    </xf>
    <xf numFmtId="0" fontId="16" fillId="0" borderId="29" xfId="0" applyFont="1" applyBorder="1" applyAlignment="1">
      <alignment horizontal="right" vertical="center"/>
    </xf>
    <xf numFmtId="0" fontId="0" fillId="0" borderId="0" xfId="0" applyAlignment="1">
      <alignment horizontal="left" wrapText="1" indent="2"/>
    </xf>
    <xf numFmtId="6" fontId="16" fillId="0" borderId="0" xfId="0" applyNumberFormat="1" applyFont="1" applyAlignment="1">
      <alignment horizontal="right" vertical="center"/>
    </xf>
    <xf numFmtId="173" fontId="5" fillId="0" borderId="0" xfId="1" applyNumberFormat="1" applyFont="1" applyFill="1" applyAlignment="1" applyProtection="1">
      <alignment horizontal="right"/>
    </xf>
    <xf numFmtId="0" fontId="2" fillId="0" borderId="0" xfId="0" applyFont="1" applyProtection="1">
      <protection locked="0"/>
    </xf>
    <xf numFmtId="0" fontId="2" fillId="0" borderId="9" xfId="0" applyFont="1" applyBorder="1" applyProtection="1">
      <protection locked="0"/>
    </xf>
    <xf numFmtId="0" fontId="2" fillId="0" borderId="0" xfId="0" applyFont="1" applyAlignment="1" applyProtection="1">
      <alignment horizontal="right"/>
      <protection locked="0"/>
    </xf>
    <xf numFmtId="5" fontId="2" fillId="0" borderId="0" xfId="0" applyNumberFormat="1" applyFont="1" applyProtection="1">
      <protection locked="0"/>
    </xf>
    <xf numFmtId="10" fontId="9" fillId="0" borderId="69" xfId="0" applyNumberFormat="1" applyFont="1" applyBorder="1"/>
    <xf numFmtId="41" fontId="5" fillId="0" borderId="0" xfId="0" applyNumberFormat="1" applyFont="1"/>
    <xf numFmtId="5" fontId="5" fillId="0" borderId="8" xfId="0" applyNumberFormat="1" applyFont="1" applyBorder="1"/>
    <xf numFmtId="0" fontId="2" fillId="0" borderId="8" xfId="0" applyFont="1" applyBorder="1" applyProtection="1">
      <protection locked="0"/>
    </xf>
    <xf numFmtId="5" fontId="2" fillId="0" borderId="9" xfId="0" applyNumberFormat="1" applyFont="1" applyBorder="1" applyProtection="1">
      <protection locked="0"/>
    </xf>
    <xf numFmtId="37" fontId="5" fillId="0" borderId="0" xfId="0" applyNumberFormat="1" applyFont="1" applyAlignment="1">
      <alignment horizontal="fill"/>
    </xf>
    <xf numFmtId="10" fontId="9" fillId="0" borderId="69" xfId="0" applyNumberFormat="1" applyFont="1" applyBorder="1" applyAlignment="1" applyProtection="1">
      <alignment horizontal="fill"/>
      <protection locked="0"/>
    </xf>
    <xf numFmtId="5" fontId="2" fillId="0" borderId="8" xfId="0" applyNumberFormat="1" applyFont="1" applyBorder="1" applyProtection="1">
      <protection locked="0"/>
    </xf>
    <xf numFmtId="170" fontId="16" fillId="0" borderId="0" xfId="0" applyNumberFormat="1" applyFont="1"/>
    <xf numFmtId="170" fontId="5" fillId="0" borderId="0" xfId="0" applyNumberFormat="1" applyFont="1" applyAlignment="1">
      <alignment horizontal="centerContinuous"/>
    </xf>
    <xf numFmtId="37" fontId="16" fillId="0" borderId="0" xfId="0" applyNumberFormat="1" applyFont="1"/>
    <xf numFmtId="170" fontId="5" fillId="0" borderId="0" xfId="0" applyNumberFormat="1" applyFont="1" applyAlignment="1">
      <alignment horizontal="center"/>
    </xf>
    <xf numFmtId="0" fontId="5" fillId="0" borderId="69" xfId="0" applyFont="1" applyBorder="1"/>
    <xf numFmtId="0" fontId="5" fillId="0" borderId="39" xfId="0" applyFont="1" applyBorder="1"/>
    <xf numFmtId="0" fontId="17" fillId="0" borderId="69" xfId="0" applyFont="1" applyBorder="1"/>
    <xf numFmtId="0" fontId="5" fillId="0" borderId="24" xfId="0" applyFont="1" applyBorder="1" applyAlignment="1">
      <alignment horizontal="left" indent="1"/>
    </xf>
    <xf numFmtId="41" fontId="16" fillId="2" borderId="57" xfId="0" applyNumberFormat="1" applyFont="1" applyFill="1" applyBorder="1"/>
    <xf numFmtId="41" fontId="16" fillId="0" borderId="0" xfId="0" applyNumberFormat="1" applyFont="1"/>
    <xf numFmtId="0" fontId="5" fillId="0" borderId="28" xfId="0" applyFont="1" applyBorder="1" applyAlignment="1">
      <alignment horizontal="left" indent="1"/>
    </xf>
    <xf numFmtId="0" fontId="16" fillId="0" borderId="24" xfId="0" applyFont="1" applyBorder="1" applyAlignment="1">
      <alignment horizontal="left" indent="1"/>
    </xf>
    <xf numFmtId="0" fontId="5" fillId="0" borderId="28" xfId="0" applyFont="1" applyBorder="1"/>
    <xf numFmtId="9" fontId="16" fillId="2" borderId="0" xfId="7" applyFont="1" applyFill="1" applyBorder="1"/>
    <xf numFmtId="10" fontId="5" fillId="0" borderId="69" xfId="0" applyNumberFormat="1" applyFont="1" applyBorder="1"/>
    <xf numFmtId="5" fontId="5" fillId="0" borderId="39" xfId="0" applyNumberFormat="1" applyFont="1" applyBorder="1"/>
    <xf numFmtId="41" fontId="16" fillId="2" borderId="0" xfId="0" applyNumberFormat="1" applyFont="1" applyFill="1"/>
    <xf numFmtId="3" fontId="5" fillId="0" borderId="69" xfId="0" applyNumberFormat="1" applyFont="1" applyBorder="1"/>
    <xf numFmtId="39" fontId="5" fillId="0" borderId="0" xfId="0" applyNumberFormat="1" applyFont="1" applyAlignment="1">
      <alignment horizontal="center"/>
    </xf>
    <xf numFmtId="0" fontId="7" fillId="0" borderId="69" xfId="0" applyFont="1" applyBorder="1"/>
    <xf numFmtId="0" fontId="9" fillId="0" borderId="69" xfId="0" applyFont="1" applyBorder="1"/>
    <xf numFmtId="41" fontId="16" fillId="2" borderId="69" xfId="0" applyNumberFormat="1" applyFont="1" applyFill="1" applyBorder="1"/>
    <xf numFmtId="41" fontId="5" fillId="2" borderId="0" xfId="0" applyNumberFormat="1" applyFont="1" applyFill="1"/>
    <xf numFmtId="0" fontId="16" fillId="0" borderId="24" xfId="0" applyFont="1" applyBorder="1"/>
    <xf numFmtId="41" fontId="5" fillId="0" borderId="69" xfId="0" applyNumberFormat="1" applyFont="1" applyBorder="1"/>
    <xf numFmtId="41" fontId="17" fillId="0" borderId="69" xfId="0" applyNumberFormat="1" applyFont="1" applyBorder="1"/>
    <xf numFmtId="5" fontId="16" fillId="0" borderId="69" xfId="0" applyNumberFormat="1" applyFont="1" applyBorder="1"/>
    <xf numFmtId="5" fontId="16" fillId="0" borderId="0" xfId="0" applyNumberFormat="1" applyFont="1"/>
    <xf numFmtId="10" fontId="5" fillId="0" borderId="39" xfId="0" applyNumberFormat="1" applyFont="1" applyBorder="1"/>
    <xf numFmtId="41" fontId="16" fillId="2" borderId="24" xfId="0" applyNumberFormat="1" applyFont="1" applyFill="1" applyBorder="1"/>
    <xf numFmtId="41" fontId="5" fillId="2" borderId="24" xfId="0" applyNumberFormat="1" applyFont="1" applyFill="1" applyBorder="1"/>
    <xf numFmtId="173" fontId="5" fillId="0" borderId="0" xfId="1" applyNumberFormat="1" applyFont="1" applyBorder="1" applyProtection="1"/>
    <xf numFmtId="41" fontId="16" fillId="2" borderId="24" xfId="0" applyNumberFormat="1" applyFont="1" applyFill="1" applyBorder="1" applyAlignment="1">
      <alignment horizontal="right"/>
    </xf>
    <xf numFmtId="5" fontId="5" fillId="0" borderId="69" xfId="0" quotePrefix="1" applyNumberFormat="1" applyFont="1" applyBorder="1"/>
    <xf numFmtId="0" fontId="4" fillId="0" borderId="69" xfId="0" applyFont="1" applyBorder="1"/>
    <xf numFmtId="173" fontId="16" fillId="0" borderId="0" xfId="1" applyNumberFormat="1" applyFont="1"/>
    <xf numFmtId="0" fontId="5" fillId="0" borderId="53" xfId="0" applyFont="1" applyBorder="1"/>
    <xf numFmtId="0" fontId="5" fillId="0" borderId="54" xfId="0" applyFont="1" applyBorder="1"/>
    <xf numFmtId="5" fontId="5" fillId="0" borderId="53" xfId="0" applyNumberFormat="1" applyFont="1" applyBorder="1"/>
    <xf numFmtId="5" fontId="5" fillId="0" borderId="41" xfId="0" applyNumberFormat="1" applyFont="1" applyBorder="1"/>
    <xf numFmtId="10" fontId="5" fillId="0" borderId="0" xfId="7" applyNumberFormat="1" applyFont="1" applyProtection="1"/>
    <xf numFmtId="0" fontId="16" fillId="2" borderId="0" xfId="0" applyFont="1" applyFill="1"/>
    <xf numFmtId="170" fontId="16" fillId="2" borderId="0" xfId="0" applyNumberFormat="1" applyFont="1" applyFill="1"/>
    <xf numFmtId="170" fontId="5" fillId="0" borderId="0" xfId="0" applyNumberFormat="1" applyFont="1"/>
    <xf numFmtId="41" fontId="5" fillId="0" borderId="0" xfId="0" applyNumberFormat="1" applyFont="1" applyAlignment="1">
      <alignment horizontal="right"/>
    </xf>
    <xf numFmtId="0" fontId="2" fillId="0" borderId="0" xfId="0" applyFont="1"/>
    <xf numFmtId="0" fontId="16" fillId="0" borderId="0" xfId="0" applyFont="1" applyAlignment="1">
      <alignment horizontal="right"/>
    </xf>
    <xf numFmtId="10" fontId="16" fillId="0" borderId="0" xfId="0" applyNumberFormat="1" applyFont="1"/>
    <xf numFmtId="2" fontId="16" fillId="0" borderId="0" xfId="0" applyNumberFormat="1" applyFont="1"/>
    <xf numFmtId="5" fontId="16" fillId="0" borderId="0" xfId="0" quotePrefix="1" applyNumberFormat="1" applyFont="1"/>
    <xf numFmtId="173" fontId="16" fillId="0" borderId="0" xfId="1" applyNumberFormat="1" applyFont="1" applyBorder="1" applyAlignment="1">
      <alignment horizontal="right"/>
    </xf>
    <xf numFmtId="5" fontId="16" fillId="0" borderId="0" xfId="0" applyNumberFormat="1" applyFont="1" applyProtection="1">
      <protection hidden="1"/>
    </xf>
    <xf numFmtId="0" fontId="16" fillId="0" borderId="0" xfId="0" applyFont="1" applyProtection="1">
      <protection hidden="1"/>
    </xf>
    <xf numFmtId="0" fontId="16" fillId="0" borderId="0" xfId="0" applyFont="1" applyAlignment="1" applyProtection="1">
      <alignment horizontal="right"/>
      <protection hidden="1"/>
    </xf>
    <xf numFmtId="49" fontId="16" fillId="0" borderId="0" xfId="0" quotePrefix="1" applyNumberFormat="1" applyFont="1" applyAlignment="1" applyProtection="1">
      <alignment horizontal="right"/>
      <protection hidden="1"/>
    </xf>
    <xf numFmtId="10" fontId="16" fillId="0" borderId="0" xfId="0" applyNumberFormat="1" applyFont="1" applyProtection="1">
      <protection hidden="1"/>
    </xf>
    <xf numFmtId="9" fontId="16" fillId="0" borderId="0" xfId="0" applyNumberFormat="1" applyFont="1" applyAlignment="1">
      <alignment horizontal="center"/>
    </xf>
    <xf numFmtId="171" fontId="16" fillId="0" borderId="0" xfId="0" applyNumberFormat="1" applyFont="1" applyAlignment="1">
      <alignment horizontal="center"/>
    </xf>
    <xf numFmtId="7" fontId="16" fillId="0" borderId="0" xfId="0" applyNumberFormat="1" applyFont="1"/>
    <xf numFmtId="0" fontId="16" fillId="0" borderId="4" xfId="0" applyFont="1" applyBorder="1"/>
    <xf numFmtId="5" fontId="16" fillId="0" borderId="4" xfId="0" applyNumberFormat="1" applyFont="1" applyBorder="1"/>
    <xf numFmtId="0" fontId="16" fillId="0" borderId="0" xfId="0" applyFont="1" applyAlignment="1">
      <alignment horizontal="right" wrapText="1"/>
    </xf>
    <xf numFmtId="9" fontId="16" fillId="0" borderId="0" xfId="0" applyNumberFormat="1" applyFont="1"/>
    <xf numFmtId="10" fontId="16" fillId="0" borderId="0" xfId="7" applyNumberFormat="1" applyFont="1" applyBorder="1" applyProtection="1"/>
    <xf numFmtId="173" fontId="16" fillId="0" borderId="0" xfId="1" applyNumberFormat="1" applyFont="1" applyFill="1"/>
    <xf numFmtId="9" fontId="16" fillId="0" borderId="0" xfId="7" applyFont="1" applyBorder="1"/>
    <xf numFmtId="10" fontId="16" fillId="0" borderId="0" xfId="7" applyNumberFormat="1" applyFont="1" applyBorder="1"/>
    <xf numFmtId="44" fontId="16" fillId="0" borderId="0" xfId="2" applyFont="1" applyBorder="1"/>
    <xf numFmtId="168" fontId="16" fillId="0" borderId="0" xfId="7" applyNumberFormat="1" applyFont="1"/>
    <xf numFmtId="44" fontId="16" fillId="0" borderId="0" xfId="2" applyFont="1"/>
    <xf numFmtId="44" fontId="16" fillId="0" borderId="0" xfId="0" applyNumberFormat="1" applyFont="1"/>
    <xf numFmtId="0" fontId="16" fillId="0" borderId="9" xfId="0" applyFont="1" applyBorder="1"/>
    <xf numFmtId="0" fontId="16" fillId="0" borderId="10" xfId="0" applyFont="1" applyBorder="1"/>
    <xf numFmtId="3" fontId="16" fillId="2" borderId="14" xfId="0" applyNumberFormat="1" applyFont="1" applyFill="1" applyBorder="1" applyAlignment="1">
      <alignment horizontal="center"/>
    </xf>
    <xf numFmtId="9" fontId="16" fillId="0" borderId="42" xfId="0" applyNumberFormat="1" applyFont="1" applyBorder="1" applyAlignment="1">
      <alignment horizontal="center"/>
    </xf>
    <xf numFmtId="0" fontId="16" fillId="0" borderId="69" xfId="0" applyFont="1" applyBorder="1"/>
    <xf numFmtId="9" fontId="16" fillId="2" borderId="42" xfId="0" applyNumberFormat="1" applyFont="1" applyFill="1" applyBorder="1" applyAlignment="1">
      <alignment horizontal="center"/>
    </xf>
    <xf numFmtId="0" fontId="5" fillId="0" borderId="8" xfId="0" applyFont="1" applyBorder="1" applyAlignment="1">
      <alignment horizontal="centerContinuous"/>
    </xf>
    <xf numFmtId="170" fontId="5" fillId="0" borderId="8" xfId="0" applyNumberFormat="1" applyFont="1" applyBorder="1" applyAlignment="1">
      <alignment horizontal="centerContinuous"/>
    </xf>
    <xf numFmtId="0" fontId="16" fillId="0" borderId="8" xfId="0" applyFont="1" applyBorder="1"/>
    <xf numFmtId="0" fontId="16" fillId="0" borderId="3" xfId="0" applyFont="1" applyBorder="1"/>
    <xf numFmtId="0" fontId="5" fillId="0" borderId="9" xfId="0" applyFont="1" applyBorder="1" applyAlignment="1">
      <alignment horizontal="centerContinuous"/>
    </xf>
    <xf numFmtId="170" fontId="5" fillId="0" borderId="9" xfId="0" applyNumberFormat="1" applyFont="1" applyBorder="1" applyAlignment="1">
      <alignment horizontal="centerContinuous"/>
    </xf>
    <xf numFmtId="0" fontId="16" fillId="0" borderId="16" xfId="0" applyFont="1" applyBorder="1"/>
    <xf numFmtId="1" fontId="16" fillId="0" borderId="0" xfId="0" applyNumberFormat="1" applyFont="1" applyAlignment="1">
      <alignment horizontal="center"/>
    </xf>
    <xf numFmtId="3" fontId="5" fillId="0" borderId="0" xfId="0" applyNumberFormat="1" applyFont="1" applyAlignment="1">
      <alignment horizontal="center"/>
    </xf>
    <xf numFmtId="1" fontId="16" fillId="2" borderId="14" xfId="0" applyNumberFormat="1" applyFont="1" applyFill="1" applyBorder="1" applyAlignment="1">
      <alignment horizontal="center"/>
    </xf>
    <xf numFmtId="1" fontId="16" fillId="0" borderId="0" xfId="0" applyNumberFormat="1" applyFont="1"/>
    <xf numFmtId="0" fontId="16" fillId="0" borderId="2" xfId="0" applyFont="1" applyBorder="1"/>
    <xf numFmtId="0" fontId="16" fillId="0" borderId="6" xfId="0" applyFont="1" applyBorder="1"/>
    <xf numFmtId="0" fontId="5" fillId="0" borderId="0" xfId="0" applyFont="1" applyAlignment="1">
      <alignment horizontal="right" wrapText="1"/>
    </xf>
    <xf numFmtId="0" fontId="5" fillId="0" borderId="0" xfId="0" applyFont="1" applyAlignment="1">
      <alignment horizontal="left" wrapText="1"/>
    </xf>
    <xf numFmtId="0" fontId="5" fillId="0" borderId="0" xfId="0" applyFont="1" applyAlignment="1">
      <alignment wrapText="1"/>
    </xf>
    <xf numFmtId="0" fontId="16" fillId="0" borderId="0" xfId="0" applyFont="1" applyAlignment="1">
      <alignment wrapText="1"/>
    </xf>
    <xf numFmtId="0" fontId="16" fillId="0" borderId="69" xfId="0" applyFont="1" applyBorder="1" applyAlignment="1">
      <alignment wrapText="1"/>
    </xf>
    <xf numFmtId="44" fontId="16" fillId="2" borderId="14" xfId="2" applyFont="1" applyFill="1" applyBorder="1" applyAlignment="1">
      <alignment horizontal="center"/>
    </xf>
    <xf numFmtId="37" fontId="5" fillId="0" borderId="0" xfId="0" applyNumberFormat="1" applyFont="1" applyAlignment="1">
      <alignment horizontal="center" wrapText="1"/>
    </xf>
    <xf numFmtId="7" fontId="5" fillId="0" borderId="0" xfId="0" applyNumberFormat="1" applyFont="1" applyAlignment="1">
      <alignment horizontal="center" wrapText="1"/>
    </xf>
    <xf numFmtId="37" fontId="5" fillId="0" borderId="0" xfId="0" applyNumberFormat="1" applyFont="1" applyAlignment="1">
      <alignment wrapText="1"/>
    </xf>
    <xf numFmtId="3" fontId="16" fillId="0" borderId="14" xfId="0" applyNumberFormat="1" applyFont="1" applyBorder="1" applyAlignment="1">
      <alignment horizontal="center"/>
    </xf>
    <xf numFmtId="169" fontId="16" fillId="2" borderId="14" xfId="2" applyNumberFormat="1" applyFont="1" applyFill="1" applyBorder="1" applyAlignment="1">
      <alignment horizontal="center"/>
    </xf>
    <xf numFmtId="9" fontId="5" fillId="0" borderId="0" xfId="0" applyNumberFormat="1" applyFont="1" applyAlignment="1">
      <alignment wrapText="1"/>
    </xf>
    <xf numFmtId="169" fontId="16" fillId="0" borderId="0" xfId="2" applyNumberFormat="1" applyFont="1" applyFill="1" applyBorder="1"/>
    <xf numFmtId="0" fontId="16" fillId="0" borderId="26" xfId="0" applyFont="1" applyBorder="1"/>
    <xf numFmtId="0" fontId="16" fillId="0" borderId="27" xfId="0" applyFont="1" applyBorder="1"/>
    <xf numFmtId="0" fontId="16" fillId="0" borderId="7" xfId="0" applyFont="1" applyBorder="1"/>
    <xf numFmtId="0" fontId="16" fillId="4" borderId="1" xfId="5" applyFont="1" applyFill="1" applyBorder="1" applyAlignment="1">
      <alignment horizontal="center" wrapText="1"/>
    </xf>
    <xf numFmtId="9" fontId="16" fillId="0" borderId="0" xfId="0" applyNumberFormat="1" applyFont="1" applyAlignment="1">
      <alignment horizontal="center" vertical="center"/>
    </xf>
    <xf numFmtId="0" fontId="16" fillId="0" borderId="1" xfId="0" applyFont="1" applyBorder="1" applyAlignment="1">
      <alignment horizontal="left"/>
    </xf>
    <xf numFmtId="0" fontId="16" fillId="5" borderId="5" xfId="0" applyFont="1" applyFill="1" applyBorder="1" applyAlignment="1">
      <alignment horizontal="center"/>
    </xf>
    <xf numFmtId="0" fontId="16" fillId="5" borderId="20" xfId="0" applyFont="1" applyFill="1" applyBorder="1" applyAlignment="1">
      <alignment horizontal="center"/>
    </xf>
    <xf numFmtId="0" fontId="16" fillId="0" borderId="33" xfId="0" applyFont="1" applyBorder="1" applyAlignment="1">
      <alignment horizontal="center"/>
    </xf>
    <xf numFmtId="9" fontId="16" fillId="0" borderId="34" xfId="0" applyNumberFormat="1" applyFont="1" applyBorder="1" applyAlignment="1">
      <alignment horizontal="center"/>
    </xf>
    <xf numFmtId="9" fontId="16" fillId="0" borderId="2" xfId="7" applyFont="1" applyFill="1" applyBorder="1" applyAlignment="1">
      <alignment horizontal="left"/>
    </xf>
    <xf numFmtId="0" fontId="16" fillId="0" borderId="3" xfId="0" applyFont="1" applyBorder="1" applyAlignment="1">
      <alignment horizontal="left"/>
    </xf>
    <xf numFmtId="0" fontId="16" fillId="0" borderId="35" xfId="0" applyFont="1" applyBorder="1" applyAlignment="1">
      <alignment horizontal="center"/>
    </xf>
    <xf numFmtId="9" fontId="16" fillId="0" borderId="36" xfId="0" applyNumberFormat="1" applyFont="1" applyBorder="1" applyAlignment="1">
      <alignment horizontal="center"/>
    </xf>
    <xf numFmtId="3" fontId="16" fillId="0" borderId="35" xfId="0" applyNumberFormat="1" applyFont="1" applyBorder="1" applyAlignment="1">
      <alignment horizontal="center"/>
    </xf>
    <xf numFmtId="0" fontId="16" fillId="0" borderId="2" xfId="5" applyFont="1" applyBorder="1" applyAlignment="1">
      <alignment horizontal="right"/>
    </xf>
    <xf numFmtId="0" fontId="16" fillId="0" borderId="8" xfId="5" applyFont="1" applyBorder="1" applyAlignment="1">
      <alignment horizontal="center"/>
    </xf>
    <xf numFmtId="0" fontId="16" fillId="5" borderId="68" xfId="0" applyFont="1" applyFill="1" applyBorder="1" applyAlignment="1">
      <alignment horizontal="center"/>
    </xf>
    <xf numFmtId="0" fontId="16" fillId="5" borderId="67" xfId="0" applyFont="1" applyFill="1" applyBorder="1" applyAlignment="1">
      <alignment horizontal="center"/>
    </xf>
    <xf numFmtId="3" fontId="16" fillId="0" borderId="0" xfId="0" applyNumberFormat="1" applyFont="1" applyAlignment="1">
      <alignment horizontal="center"/>
    </xf>
    <xf numFmtId="0" fontId="16" fillId="0" borderId="37" xfId="0" applyFont="1" applyBorder="1" applyAlignment="1">
      <alignment horizontal="center"/>
    </xf>
    <xf numFmtId="9" fontId="16" fillId="0" borderId="38" xfId="0" applyNumberFormat="1" applyFont="1" applyBorder="1" applyAlignment="1">
      <alignment horizontal="center"/>
    </xf>
    <xf numFmtId="173" fontId="16" fillId="0" borderId="0" xfId="1" applyNumberFormat="1" applyFont="1" applyFill="1" applyBorder="1"/>
    <xf numFmtId="0" fontId="16" fillId="0" borderId="0" xfId="5" applyFont="1" applyAlignment="1">
      <alignment horizontal="right"/>
    </xf>
    <xf numFmtId="0" fontId="16" fillId="0" borderId="69" xfId="0" applyFont="1" applyBorder="1" applyAlignment="1">
      <alignment horizontal="center"/>
    </xf>
    <xf numFmtId="0" fontId="16" fillId="0" borderId="39"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4" xfId="0" applyFont="1" applyBorder="1" applyAlignment="1">
      <alignment horizontal="center"/>
    </xf>
    <xf numFmtId="0" fontId="16" fillId="0" borderId="19" xfId="0" applyFont="1" applyBorder="1" applyAlignment="1">
      <alignment horizontal="center"/>
    </xf>
    <xf numFmtId="3" fontId="16" fillId="4" borderId="18" xfId="0" applyNumberFormat="1" applyFont="1" applyFill="1" applyBorder="1" applyAlignment="1">
      <alignment horizontal="center"/>
    </xf>
    <xf numFmtId="9" fontId="16" fillId="0" borderId="0" xfId="5" applyNumberFormat="1" applyFont="1" applyAlignment="1">
      <alignment horizontal="center"/>
    </xf>
    <xf numFmtId="0" fontId="16" fillId="0" borderId="0" xfId="0" applyFont="1" applyAlignment="1">
      <alignment horizontal="center" wrapText="1"/>
    </xf>
    <xf numFmtId="0" fontId="16" fillId="5" borderId="5" xfId="5" applyFont="1" applyFill="1" applyBorder="1" applyAlignment="1">
      <alignment horizontal="center" wrapText="1"/>
    </xf>
    <xf numFmtId="0" fontId="16" fillId="5" borderId="0" xfId="5" applyFont="1" applyFill="1" applyAlignment="1">
      <alignment horizontal="center" wrapText="1"/>
    </xf>
    <xf numFmtId="0" fontId="16" fillId="0" borderId="69" xfId="5" applyFont="1" applyBorder="1" applyAlignment="1">
      <alignment horizontal="center" wrapText="1"/>
    </xf>
    <xf numFmtId="43" fontId="16" fillId="0" borderId="0" xfId="5" applyNumberFormat="1" applyFont="1" applyAlignment="1">
      <alignment horizontal="center"/>
    </xf>
    <xf numFmtId="3" fontId="16" fillId="5" borderId="5" xfId="0" applyNumberFormat="1" applyFont="1" applyFill="1" applyBorder="1" applyAlignment="1">
      <alignment horizontal="center"/>
    </xf>
    <xf numFmtId="3" fontId="16" fillId="5" borderId="0" xfId="0" applyNumberFormat="1" applyFont="1" applyFill="1" applyAlignment="1">
      <alignment horizontal="center"/>
    </xf>
    <xf numFmtId="0" fontId="16" fillId="2" borderId="14" xfId="0" applyFont="1" applyFill="1" applyBorder="1" applyAlignment="1">
      <alignment horizontal="center"/>
    </xf>
    <xf numFmtId="173" fontId="16" fillId="0" borderId="69" xfId="1" applyNumberFormat="1" applyFont="1" applyFill="1" applyBorder="1"/>
    <xf numFmtId="0" fontId="16" fillId="5" borderId="0" xfId="0" applyFont="1" applyFill="1" applyAlignment="1">
      <alignment horizontal="center"/>
    </xf>
    <xf numFmtId="0" fontId="16" fillId="5" borderId="4" xfId="0" applyFont="1" applyFill="1" applyBorder="1" applyAlignment="1">
      <alignment horizontal="center"/>
    </xf>
    <xf numFmtId="0" fontId="16" fillId="4" borderId="0" xfId="5" applyFont="1" applyFill="1" applyAlignment="1">
      <alignment horizontal="center"/>
    </xf>
    <xf numFmtId="43" fontId="16" fillId="4" borderId="0" xfId="5" applyNumberFormat="1" applyFont="1" applyFill="1" applyAlignment="1">
      <alignment horizontal="center"/>
    </xf>
    <xf numFmtId="173" fontId="16" fillId="4" borderId="0" xfId="1" applyNumberFormat="1" applyFont="1" applyFill="1" applyBorder="1"/>
    <xf numFmtId="3" fontId="16" fillId="4" borderId="0" xfId="0" applyNumberFormat="1" applyFont="1" applyFill="1" applyAlignment="1">
      <alignment horizontal="center"/>
    </xf>
    <xf numFmtId="0" fontId="16" fillId="2" borderId="14" xfId="0" applyFont="1" applyFill="1" applyBorder="1"/>
    <xf numFmtId="173" fontId="4" fillId="0" borderId="69" xfId="0" applyNumberFormat="1" applyFont="1" applyBorder="1"/>
    <xf numFmtId="169" fontId="5" fillId="0" borderId="0" xfId="2" applyNumberFormat="1" applyFont="1" applyFill="1" applyBorder="1" applyProtection="1"/>
    <xf numFmtId="0" fontId="5" fillId="0" borderId="69" xfId="0" applyFont="1" applyBorder="1" applyAlignment="1">
      <alignment vertical="center"/>
    </xf>
    <xf numFmtId="0" fontId="16" fillId="0" borderId="69" xfId="0" applyFont="1" applyBorder="1" applyAlignment="1">
      <alignment vertical="center"/>
    </xf>
    <xf numFmtId="0" fontId="4" fillId="0" borderId="69" xfId="0" applyFont="1" applyBorder="1" applyAlignment="1">
      <alignment vertical="center"/>
    </xf>
    <xf numFmtId="0" fontId="9" fillId="0" borderId="69" xfId="0" applyFont="1" applyBorder="1" applyAlignment="1">
      <alignment vertical="center"/>
    </xf>
    <xf numFmtId="164" fontId="5" fillId="0" borderId="0" xfId="0" applyNumberFormat="1" applyFont="1"/>
    <xf numFmtId="39" fontId="5" fillId="0" borderId="69" xfId="0" applyNumberFormat="1" applyFont="1" applyBorder="1"/>
    <xf numFmtId="5" fontId="5" fillId="0" borderId="69" xfId="0" applyNumberFormat="1" applyFont="1" applyBorder="1"/>
    <xf numFmtId="37" fontId="16" fillId="0" borderId="0" xfId="0" applyNumberFormat="1" applyFont="1" applyAlignment="1">
      <alignment horizontal="right"/>
    </xf>
    <xf numFmtId="10" fontId="16" fillId="0" borderId="69" xfId="0" applyNumberFormat="1" applyFont="1" applyBorder="1"/>
    <xf numFmtId="0" fontId="0" fillId="0" borderId="69" xfId="0" applyBorder="1" applyAlignment="1">
      <alignment horizontal="right"/>
    </xf>
    <xf numFmtId="37" fontId="5" fillId="0" borderId="8" xfId="0" applyNumberFormat="1" applyFont="1" applyBorder="1"/>
    <xf numFmtId="10" fontId="16" fillId="2" borderId="69" xfId="0" applyNumberFormat="1" applyFont="1" applyFill="1" applyBorder="1"/>
    <xf numFmtId="9" fontId="5" fillId="2" borderId="14" xfId="0" applyNumberFormat="1" applyFont="1" applyFill="1" applyBorder="1"/>
    <xf numFmtId="5" fontId="24" fillId="0" borderId="69" xfId="0" applyNumberFormat="1" applyFont="1" applyBorder="1"/>
    <xf numFmtId="172" fontId="16" fillId="0" borderId="0" xfId="0" applyNumberFormat="1" applyFont="1"/>
    <xf numFmtId="10" fontId="5" fillId="0" borderId="69" xfId="7" applyNumberFormat="1" applyFont="1" applyFill="1" applyBorder="1" applyProtection="1"/>
    <xf numFmtId="9" fontId="5" fillId="2" borderId="13" xfId="7" applyFont="1" applyFill="1" applyBorder="1" applyProtection="1"/>
    <xf numFmtId="39" fontId="5" fillId="0" borderId="0" xfId="0" applyNumberFormat="1" applyFont="1"/>
    <xf numFmtId="39" fontId="5" fillId="0" borderId="0" xfId="0" applyNumberFormat="1" applyFont="1" applyAlignment="1">
      <alignment horizontal="left"/>
    </xf>
    <xf numFmtId="5" fontId="4" fillId="0" borderId="69" xfId="0" applyNumberFormat="1" applyFont="1" applyBorder="1" applyAlignment="1">
      <alignment horizontal="right"/>
    </xf>
    <xf numFmtId="0" fontId="0" fillId="0" borderId="69" xfId="0" applyBorder="1"/>
    <xf numFmtId="169" fontId="5" fillId="0" borderId="8" xfId="2" applyNumberFormat="1" applyFont="1" applyBorder="1" applyAlignment="1" applyProtection="1">
      <alignment horizontal="right"/>
    </xf>
    <xf numFmtId="5" fontId="4" fillId="0" borderId="69" xfId="0" applyNumberFormat="1" applyFont="1" applyBorder="1"/>
    <xf numFmtId="0" fontId="5" fillId="0" borderId="69" xfId="0" applyFont="1" applyBorder="1" applyAlignment="1">
      <alignment horizontal="right"/>
    </xf>
    <xf numFmtId="2" fontId="0" fillId="0" borderId="69" xfId="0" applyNumberFormat="1" applyBorder="1"/>
    <xf numFmtId="3" fontId="16" fillId="0" borderId="0" xfId="0" applyNumberFormat="1" applyFont="1"/>
    <xf numFmtId="37" fontId="2" fillId="0" borderId="0" xfId="4" applyFont="1"/>
    <xf numFmtId="3" fontId="14" fillId="6" borderId="5" xfId="9" applyNumberFormat="1" applyFont="1" applyFill="1" applyBorder="1" applyAlignment="1">
      <alignment horizontal="center"/>
    </xf>
    <xf numFmtId="3" fontId="14" fillId="7" borderId="5" xfId="9" applyNumberFormat="1" applyFont="1" applyFill="1" applyBorder="1" applyAlignment="1">
      <alignment horizontal="center"/>
    </xf>
    <xf numFmtId="9" fontId="44" fillId="6" borderId="5" xfId="9" applyNumberFormat="1" applyFont="1" applyFill="1" applyBorder="1" applyAlignment="1">
      <alignment horizontal="center"/>
    </xf>
    <xf numFmtId="14" fontId="44" fillId="6" borderId="5" xfId="9" applyNumberFormat="1" applyFont="1" applyFill="1" applyBorder="1" applyAlignment="1">
      <alignment horizontal="center"/>
    </xf>
    <xf numFmtId="0" fontId="16" fillId="9" borderId="5" xfId="9" applyFill="1" applyBorder="1"/>
    <xf numFmtId="0" fontId="16" fillId="9" borderId="70" xfId="9" applyFill="1" applyBorder="1" applyAlignment="1">
      <alignment horizontal="center"/>
    </xf>
    <xf numFmtId="2" fontId="16" fillId="0" borderId="17" xfId="5" applyNumberFormat="1" applyFont="1" applyBorder="1" applyAlignment="1">
      <alignment horizontal="center"/>
    </xf>
    <xf numFmtId="0" fontId="16" fillId="0" borderId="17" xfId="5" applyFont="1" applyBorder="1" applyAlignment="1">
      <alignment horizontal="center"/>
    </xf>
    <xf numFmtId="39" fontId="16" fillId="0" borderId="17" xfId="5" applyNumberFormat="1" applyFont="1" applyBorder="1" applyAlignment="1">
      <alignment horizontal="center"/>
    </xf>
    <xf numFmtId="0" fontId="2" fillId="0" borderId="62" xfId="6" applyBorder="1" applyAlignment="1" applyProtection="1">
      <alignment horizontal="center"/>
      <protection locked="0"/>
    </xf>
    <xf numFmtId="170" fontId="32" fillId="0" borderId="62" xfId="6" applyNumberFormat="1" applyFont="1" applyBorder="1" applyAlignment="1">
      <alignment horizontal="center"/>
    </xf>
    <xf numFmtId="170" fontId="32" fillId="0" borderId="62" xfId="6" applyNumberFormat="1" applyFont="1" applyBorder="1"/>
    <xf numFmtId="0" fontId="2" fillId="0" borderId="0" xfId="6" applyAlignment="1">
      <alignment wrapText="1"/>
    </xf>
    <xf numFmtId="170" fontId="2" fillId="0" borderId="62" xfId="6" applyNumberFormat="1" applyBorder="1" applyProtection="1">
      <protection locked="0"/>
    </xf>
    <xf numFmtId="170" fontId="32" fillId="0" borderId="62" xfId="6" applyNumberFormat="1" applyFont="1" applyBorder="1" applyProtection="1">
      <protection locked="0"/>
    </xf>
    <xf numFmtId="0" fontId="2" fillId="0" borderId="62" xfId="6" applyBorder="1" applyProtection="1">
      <protection locked="0"/>
    </xf>
    <xf numFmtId="0" fontId="32" fillId="0" borderId="62" xfId="6" applyFont="1" applyBorder="1" applyProtection="1">
      <protection locked="0"/>
    </xf>
    <xf numFmtId="0" fontId="5" fillId="0" borderId="71" xfId="0" applyFont="1" applyBorder="1" applyAlignment="1">
      <alignment horizontal="right" indent="1"/>
    </xf>
    <xf numFmtId="0" fontId="5" fillId="0" borderId="71" xfId="0" applyFont="1" applyBorder="1"/>
    <xf numFmtId="10" fontId="5" fillId="0" borderId="71" xfId="0" applyNumberFormat="1" applyFont="1" applyBorder="1"/>
    <xf numFmtId="0" fontId="10" fillId="0" borderId="71" xfId="0" applyFont="1" applyBorder="1" applyProtection="1">
      <protection locked="0"/>
    </xf>
    <xf numFmtId="41" fontId="5" fillId="0" borderId="72" xfId="0" applyNumberFormat="1" applyFont="1" applyBorder="1"/>
    <xf numFmtId="0" fontId="17" fillId="0" borderId="71" xfId="0" applyFont="1" applyBorder="1"/>
    <xf numFmtId="173" fontId="5" fillId="0" borderId="71" xfId="1" applyNumberFormat="1" applyFont="1" applyBorder="1" applyProtection="1"/>
    <xf numFmtId="5" fontId="5" fillId="0" borderId="71" xfId="0" applyNumberFormat="1" applyFont="1" applyBorder="1"/>
    <xf numFmtId="41" fontId="25" fillId="0" borderId="72" xfId="0" applyNumberFormat="1" applyFont="1" applyBorder="1"/>
    <xf numFmtId="41" fontId="4" fillId="0" borderId="72" xfId="0" applyNumberFormat="1" applyFont="1" applyBorder="1"/>
    <xf numFmtId="41" fontId="5" fillId="0" borderId="71" xfId="0" applyNumberFormat="1" applyFont="1" applyBorder="1"/>
    <xf numFmtId="173" fontId="5" fillId="0" borderId="71" xfId="0" applyNumberFormat="1" applyFont="1" applyBorder="1"/>
    <xf numFmtId="10" fontId="5" fillId="0" borderId="71" xfId="7" applyNumberFormat="1" applyFont="1" applyBorder="1" applyProtection="1"/>
    <xf numFmtId="0" fontId="9" fillId="0" borderId="71" xfId="0" applyFont="1" applyBorder="1"/>
    <xf numFmtId="0" fontId="7" fillId="0" borderId="71" xfId="0" applyFont="1" applyBorder="1"/>
    <xf numFmtId="170" fontId="4" fillId="0" borderId="72" xfId="0" applyNumberFormat="1" applyFont="1" applyBorder="1"/>
    <xf numFmtId="5" fontId="18" fillId="0" borderId="71" xfId="0" applyNumberFormat="1" applyFont="1" applyBorder="1"/>
    <xf numFmtId="10" fontId="5" fillId="2" borderId="71" xfId="0" applyNumberFormat="1" applyFont="1" applyFill="1" applyBorder="1"/>
    <xf numFmtId="5" fontId="9" fillId="0" borderId="71" xfId="0" applyNumberFormat="1" applyFont="1" applyBorder="1"/>
    <xf numFmtId="175" fontId="5" fillId="0" borderId="71" xfId="0" applyNumberFormat="1" applyFont="1" applyBorder="1"/>
    <xf numFmtId="2" fontId="5" fillId="0" borderId="71" xfId="0" applyNumberFormat="1" applyFont="1" applyBorder="1"/>
    <xf numFmtId="168" fontId="5" fillId="0" borderId="71" xfId="7" applyNumberFormat="1" applyFont="1" applyBorder="1" applyProtection="1"/>
    <xf numFmtId="43" fontId="5" fillId="0" borderId="71" xfId="0" applyNumberFormat="1" applyFont="1" applyBorder="1"/>
    <xf numFmtId="5" fontId="14" fillId="0" borderId="72" xfId="0" applyNumberFormat="1" applyFont="1" applyBorder="1" applyAlignment="1">
      <alignment horizontal="center"/>
    </xf>
    <xf numFmtId="41" fontId="16" fillId="0" borderId="72" xfId="0" applyNumberFormat="1" applyFont="1" applyBorder="1"/>
    <xf numFmtId="41" fontId="16" fillId="2" borderId="72" xfId="0" applyNumberFormat="1" applyFont="1" applyFill="1" applyBorder="1"/>
    <xf numFmtId="41" fontId="5" fillId="2" borderId="71" xfId="0" applyNumberFormat="1" applyFont="1" applyFill="1" applyBorder="1"/>
    <xf numFmtId="0" fontId="16" fillId="2" borderId="72" xfId="0" applyFont="1" applyFill="1" applyBorder="1"/>
    <xf numFmtId="9" fontId="5" fillId="0" borderId="71" xfId="0" applyNumberFormat="1" applyFont="1" applyBorder="1"/>
    <xf numFmtId="168" fontId="9" fillId="0" borderId="71" xfId="0" applyNumberFormat="1" applyFont="1" applyBorder="1"/>
    <xf numFmtId="10" fontId="4" fillId="0" borderId="71" xfId="0" applyNumberFormat="1" applyFont="1" applyBorder="1"/>
    <xf numFmtId="41" fontId="4" fillId="2" borderId="72" xfId="0" applyNumberFormat="1" applyFont="1" applyFill="1" applyBorder="1"/>
    <xf numFmtId="10" fontId="16" fillId="0" borderId="71" xfId="0" applyNumberFormat="1" applyFont="1" applyBorder="1"/>
    <xf numFmtId="10" fontId="2" fillId="0" borderId="71" xfId="0" applyNumberFormat="1" applyFont="1" applyBorder="1"/>
    <xf numFmtId="170" fontId="5" fillId="0" borderId="71" xfId="0" applyNumberFormat="1" applyFont="1" applyBorder="1" applyAlignment="1">
      <alignment horizontal="centerContinuous"/>
    </xf>
    <xf numFmtId="0" fontId="4" fillId="0" borderId="71" xfId="0" applyFont="1" applyBorder="1" applyAlignment="1">
      <alignment horizontal="left"/>
    </xf>
    <xf numFmtId="0" fontId="6" fillId="0" borderId="71" xfId="0" applyFont="1" applyBorder="1" applyAlignment="1">
      <alignment horizontal="centerContinuous"/>
    </xf>
    <xf numFmtId="0" fontId="5" fillId="0" borderId="71" xfId="0" applyFont="1" applyBorder="1" applyAlignment="1">
      <alignment horizontal="right"/>
    </xf>
    <xf numFmtId="0" fontId="4" fillId="0" borderId="71" xfId="0" applyFont="1" applyBorder="1" applyAlignment="1">
      <alignment horizontal="right"/>
    </xf>
    <xf numFmtId="0" fontId="16" fillId="0" borderId="71" xfId="0" applyFont="1" applyBorder="1"/>
    <xf numFmtId="0" fontId="5" fillId="0" borderId="71" xfId="0" applyFont="1" applyBorder="1" applyAlignment="1">
      <alignment wrapText="1"/>
    </xf>
    <xf numFmtId="0" fontId="5" fillId="0" borderId="71" xfId="0" applyFont="1" applyBorder="1" applyAlignment="1">
      <alignment horizontal="right" wrapText="1"/>
    </xf>
    <xf numFmtId="0" fontId="16" fillId="0" borderId="71" xfId="5" applyFont="1" applyBorder="1" applyAlignment="1">
      <alignment horizontal="right"/>
    </xf>
    <xf numFmtId="0" fontId="14" fillId="0" borderId="71" xfId="5" applyFont="1" applyBorder="1" applyAlignment="1">
      <alignment horizontal="left"/>
    </xf>
    <xf numFmtId="0" fontId="16" fillId="0" borderId="71" xfId="0" applyFont="1" applyBorder="1" applyAlignment="1">
      <alignment horizontal="center"/>
    </xf>
    <xf numFmtId="0" fontId="16" fillId="0" borderId="71" xfId="5" applyFont="1" applyBorder="1" applyAlignment="1">
      <alignment horizontal="center"/>
    </xf>
    <xf numFmtId="0" fontId="0" fillId="0" borderId="71" xfId="0" applyBorder="1"/>
    <xf numFmtId="0" fontId="5" fillId="0" borderId="71" xfId="0" applyFont="1" applyBorder="1" applyAlignment="1">
      <alignment vertical="center"/>
    </xf>
    <xf numFmtId="0" fontId="12" fillId="0" borderId="71" xfId="0" applyFont="1" applyBorder="1" applyAlignment="1">
      <alignment vertical="center"/>
    </xf>
    <xf numFmtId="4" fontId="5" fillId="0" borderId="71" xfId="0" applyNumberFormat="1" applyFont="1" applyBorder="1" applyAlignment="1">
      <alignment vertical="center"/>
    </xf>
    <xf numFmtId="0" fontId="5" fillId="0" borderId="71" xfId="0" applyFont="1" applyBorder="1" applyAlignment="1">
      <alignment horizontal="right" vertical="center"/>
    </xf>
    <xf numFmtId="4" fontId="0" fillId="0" borderId="71" xfId="0" applyNumberFormat="1" applyBorder="1" applyAlignment="1">
      <alignment vertical="center"/>
    </xf>
    <xf numFmtId="0" fontId="4" fillId="0" borderId="71" xfId="0" applyFont="1" applyBorder="1" applyAlignment="1">
      <alignment vertical="center"/>
    </xf>
    <xf numFmtId="0" fontId="0" fillId="0" borderId="71" xfId="0" applyBorder="1" applyAlignment="1">
      <alignment vertical="center"/>
    </xf>
    <xf numFmtId="5" fontId="5" fillId="0" borderId="71" xfId="0" applyNumberFormat="1" applyFont="1" applyBorder="1" applyAlignment="1">
      <alignment vertical="center"/>
    </xf>
    <xf numFmtId="7" fontId="5" fillId="0" borderId="71" xfId="0" applyNumberFormat="1" applyFont="1" applyBorder="1" applyAlignment="1">
      <alignment vertical="center"/>
    </xf>
    <xf numFmtId="37" fontId="5" fillId="0" borderId="72" xfId="0" applyNumberFormat="1" applyFont="1" applyBorder="1"/>
    <xf numFmtId="37" fontId="4" fillId="0" borderId="71" xfId="0" applyNumberFormat="1" applyFont="1" applyBorder="1"/>
    <xf numFmtId="37" fontId="5" fillId="0" borderId="71" xfId="0" applyNumberFormat="1" applyFont="1" applyBorder="1" applyAlignment="1">
      <alignment horizontal="left" indent="1"/>
    </xf>
    <xf numFmtId="0" fontId="5" fillId="0" borderId="72" xfId="0" applyFont="1" applyBorder="1"/>
    <xf numFmtId="37" fontId="5" fillId="0" borderId="72" xfId="0" applyNumberFormat="1" applyFont="1" applyBorder="1" applyAlignment="1">
      <alignment horizontal="left" indent="2"/>
    </xf>
    <xf numFmtId="0" fontId="24" fillId="0" borderId="71" xfId="0" applyFont="1" applyBorder="1" applyAlignment="1">
      <alignment horizontal="left" indent="1"/>
    </xf>
    <xf numFmtId="0" fontId="16" fillId="0" borderId="71" xfId="0" applyFont="1" applyBorder="1" applyAlignment="1">
      <alignment horizontal="left" indent="1"/>
    </xf>
    <xf numFmtId="37" fontId="5" fillId="0" borderId="71" xfId="0" applyNumberFormat="1" applyFont="1" applyBorder="1"/>
    <xf numFmtId="37" fontId="5" fillId="0" borderId="71" xfId="0" applyNumberFormat="1" applyFont="1" applyBorder="1" applyAlignment="1">
      <alignment horizontal="left" indent="2"/>
    </xf>
    <xf numFmtId="0" fontId="0" fillId="0" borderId="72" xfId="0" applyBorder="1"/>
    <xf numFmtId="37" fontId="24" fillId="0" borderId="71" xfId="0" applyNumberFormat="1" applyFont="1" applyBorder="1" applyAlignment="1">
      <alignment horizontal="left" indent="1"/>
    </xf>
    <xf numFmtId="37" fontId="4" fillId="0" borderId="71" xfId="0" applyNumberFormat="1" applyFont="1" applyBorder="1" applyAlignment="1">
      <alignment horizontal="left" indent="1"/>
    </xf>
    <xf numFmtId="0" fontId="0" fillId="0" borderId="73" xfId="0" applyBorder="1"/>
    <xf numFmtId="0" fontId="23" fillId="0" borderId="71" xfId="0" applyFont="1" applyBorder="1"/>
    <xf numFmtId="5" fontId="0" fillId="0" borderId="73" xfId="0" applyNumberFormat="1" applyBorder="1"/>
    <xf numFmtId="43" fontId="0" fillId="0" borderId="73" xfId="1" applyFont="1" applyBorder="1"/>
    <xf numFmtId="0" fontId="0" fillId="0" borderId="71" xfId="0" applyBorder="1" applyAlignment="1">
      <alignment horizontal="right"/>
    </xf>
    <xf numFmtId="0" fontId="16" fillId="0" borderId="73" xfId="9" applyBorder="1" applyAlignment="1">
      <alignment horizontal="left"/>
    </xf>
    <xf numFmtId="0" fontId="16" fillId="9" borderId="73" xfId="9" applyFill="1" applyBorder="1" applyAlignment="1">
      <alignment horizontal="center"/>
    </xf>
    <xf numFmtId="0" fontId="16" fillId="9" borderId="73" xfId="9" applyFill="1" applyBorder="1"/>
    <xf numFmtId="0" fontId="2" fillId="0" borderId="73" xfId="6" applyBorder="1" applyAlignment="1">
      <alignment wrapText="1"/>
    </xf>
    <xf numFmtId="0" fontId="16" fillId="0" borderId="0" xfId="0" applyFont="1" applyAlignment="1">
      <alignment horizontal="left" wrapText="1" indent="2"/>
    </xf>
    <xf numFmtId="0" fontId="32" fillId="0" borderId="0" xfId="6" applyFont="1" applyAlignment="1">
      <alignment horizontal="left" wrapText="1"/>
    </xf>
    <xf numFmtId="0" fontId="32" fillId="0" borderId="0" xfId="6" applyFont="1" applyAlignment="1">
      <alignment horizontal="left" indent="1"/>
    </xf>
    <xf numFmtId="41" fontId="4" fillId="0" borderId="75" xfId="0" applyNumberFormat="1" applyFont="1" applyBorder="1"/>
    <xf numFmtId="41" fontId="5" fillId="0" borderId="76" xfId="0" applyNumberFormat="1" applyFont="1" applyBorder="1"/>
    <xf numFmtId="41" fontId="16" fillId="0" borderId="76" xfId="0" applyNumberFormat="1" applyFont="1" applyBorder="1"/>
    <xf numFmtId="41" fontId="25" fillId="0" borderId="76" xfId="0" applyNumberFormat="1" applyFont="1" applyBorder="1"/>
    <xf numFmtId="41" fontId="4" fillId="0" borderId="76" xfId="0" applyNumberFormat="1" applyFont="1" applyBorder="1"/>
    <xf numFmtId="41" fontId="25" fillId="0" borderId="77" xfId="0" applyNumberFormat="1" applyFont="1" applyBorder="1"/>
    <xf numFmtId="170" fontId="4" fillId="0" borderId="76" xfId="0" applyNumberFormat="1" applyFont="1" applyBorder="1"/>
    <xf numFmtId="41" fontId="25" fillId="0" borderId="78" xfId="0" applyNumberFormat="1" applyFont="1" applyBorder="1"/>
    <xf numFmtId="41" fontId="17" fillId="0" borderId="76" xfId="0" applyNumberFormat="1" applyFont="1" applyBorder="1"/>
    <xf numFmtId="5" fontId="16" fillId="0" borderId="76" xfId="0" applyNumberFormat="1" applyFont="1" applyBorder="1"/>
    <xf numFmtId="41" fontId="16" fillId="0" borderId="76" xfId="0" applyNumberFormat="1" applyFont="1" applyBorder="1" applyAlignment="1">
      <alignment horizontal="right"/>
    </xf>
    <xf numFmtId="5" fontId="14" fillId="0" borderId="76" xfId="0" applyNumberFormat="1" applyFont="1" applyBorder="1" applyAlignment="1">
      <alignment horizontal="center"/>
    </xf>
    <xf numFmtId="0" fontId="16" fillId="0" borderId="76" xfId="0" applyFont="1" applyBorder="1"/>
    <xf numFmtId="41" fontId="4" fillId="0" borderId="78" xfId="0" applyNumberFormat="1" applyFont="1" applyBorder="1"/>
    <xf numFmtId="170" fontId="16" fillId="0" borderId="76" xfId="0" applyNumberFormat="1" applyFont="1" applyBorder="1"/>
    <xf numFmtId="170" fontId="5" fillId="0" borderId="76" xfId="0" applyNumberFormat="1" applyFont="1" applyBorder="1"/>
    <xf numFmtId="41" fontId="5" fillId="0" borderId="76" xfId="0" applyNumberFormat="1" applyFont="1" applyBorder="1" applyAlignment="1">
      <alignment horizontal="right"/>
    </xf>
    <xf numFmtId="41" fontId="5" fillId="0" borderId="79" xfId="0" applyNumberFormat="1" applyFont="1" applyBorder="1" applyAlignment="1">
      <alignment horizontal="right"/>
    </xf>
    <xf numFmtId="41" fontId="4" fillId="0" borderId="74" xfId="0" applyNumberFormat="1" applyFont="1" applyBorder="1"/>
    <xf numFmtId="0" fontId="4" fillId="0" borderId="80" xfId="0" applyFont="1" applyBorder="1"/>
    <xf numFmtId="0" fontId="4" fillId="2" borderId="80" xfId="0" applyFont="1" applyFill="1" applyBorder="1"/>
    <xf numFmtId="0" fontId="5" fillId="0" borderId="81" xfId="0" applyFont="1" applyBorder="1"/>
    <xf numFmtId="5" fontId="2" fillId="0" borderId="81" xfId="0" applyNumberFormat="1" applyFont="1" applyBorder="1" applyProtection="1">
      <protection locked="0"/>
    </xf>
    <xf numFmtId="0" fontId="16" fillId="2" borderId="74" xfId="0" applyFont="1" applyFill="1" applyBorder="1"/>
    <xf numFmtId="10" fontId="16" fillId="2" borderId="74" xfId="0" applyNumberFormat="1" applyFont="1" applyFill="1" applyBorder="1"/>
    <xf numFmtId="10" fontId="16" fillId="2" borderId="74" xfId="0" applyNumberFormat="1" applyFont="1" applyFill="1" applyBorder="1" applyProtection="1">
      <protection hidden="1"/>
    </xf>
    <xf numFmtId="10" fontId="16" fillId="2" borderId="74" xfId="2" applyNumberFormat="1" applyFont="1" applyFill="1" applyBorder="1"/>
    <xf numFmtId="9" fontId="45" fillId="0" borderId="82" xfId="9" applyNumberFormat="1" applyFont="1" applyBorder="1" applyAlignment="1">
      <alignment horizontal="left"/>
    </xf>
    <xf numFmtId="0" fontId="16" fillId="0" borderId="83" xfId="5" applyFont="1" applyBorder="1" applyAlignment="1">
      <alignment horizontal="center"/>
    </xf>
    <xf numFmtId="3" fontId="14" fillId="7" borderId="83" xfId="9" applyNumberFormat="1" applyFont="1" applyFill="1" applyBorder="1" applyAlignment="1">
      <alignment horizontal="center"/>
    </xf>
    <xf numFmtId="3" fontId="14" fillId="10" borderId="84" xfId="9" applyNumberFormat="1" applyFont="1" applyFill="1" applyBorder="1" applyAlignment="1">
      <alignment horizontal="center"/>
    </xf>
    <xf numFmtId="3" fontId="14" fillId="11" borderId="84" xfId="9" applyNumberFormat="1" applyFont="1" applyFill="1" applyBorder="1" applyAlignment="1">
      <alignment horizontal="center"/>
    </xf>
    <xf numFmtId="0" fontId="16" fillId="0" borderId="0" xfId="0" applyFont="1" applyAlignment="1">
      <alignment horizontal="left" wrapText="1" indent="2"/>
    </xf>
    <xf numFmtId="0" fontId="16" fillId="0" borderId="0" xfId="0" applyFont="1" applyAlignment="1">
      <alignment horizontal="center" vertical="center"/>
    </xf>
    <xf numFmtId="0" fontId="16" fillId="0" borderId="39" xfId="0" applyFont="1" applyBorder="1" applyAlignment="1">
      <alignment horizontal="center" vertical="center"/>
    </xf>
    <xf numFmtId="0" fontId="16" fillId="0" borderId="71" xfId="0" applyFont="1" applyBorder="1" applyAlignment="1">
      <alignment horizontal="left" vertical="center"/>
    </xf>
    <xf numFmtId="0" fontId="16" fillId="2" borderId="0" xfId="2"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5" xfId="0" applyFont="1" applyBorder="1" applyAlignment="1">
      <alignment horizontal="center" vertical="center"/>
    </xf>
    <xf numFmtId="0" fontId="14" fillId="0" borderId="44" xfId="0" applyFont="1" applyBorder="1" applyAlignment="1">
      <alignment horizontal="center" vertical="center"/>
    </xf>
    <xf numFmtId="0" fontId="0" fillId="0" borderId="0" xfId="0" applyAlignment="1">
      <alignment horizontal="center" vertical="center"/>
    </xf>
    <xf numFmtId="4" fontId="30" fillId="0" borderId="8" xfId="0" applyNumberFormat="1" applyFont="1" applyBorder="1" applyAlignment="1">
      <alignment horizontal="center" vertical="center"/>
    </xf>
    <xf numFmtId="4" fontId="30" fillId="0" borderId="3" xfId="0" applyNumberFormat="1" applyFont="1" applyBorder="1" applyAlignment="1">
      <alignment horizontal="center"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4" fontId="16" fillId="0" borderId="0" xfId="0" applyNumberFormat="1" applyFont="1" applyAlignment="1">
      <alignment horizontal="center" vertical="center"/>
    </xf>
    <xf numFmtId="4" fontId="16" fillId="0" borderId="69" xfId="0" applyNumberFormat="1" applyFont="1" applyBorder="1" applyAlignment="1">
      <alignment horizontal="center" vertical="center"/>
    </xf>
    <xf numFmtId="6" fontId="2" fillId="0" borderId="0" xfId="0" applyNumberFormat="1" applyFont="1" applyAlignment="1">
      <alignment horizontal="center" vertical="center"/>
    </xf>
    <xf numFmtId="6" fontId="2" fillId="0" borderId="69" xfId="0" applyNumberFormat="1" applyFont="1" applyBorder="1" applyAlignment="1">
      <alignment horizontal="center" vertical="center"/>
    </xf>
    <xf numFmtId="0" fontId="32" fillId="0" borderId="0" xfId="6" applyFont="1" applyAlignment="1">
      <alignment horizontal="left" wrapText="1"/>
    </xf>
    <xf numFmtId="0" fontId="2" fillId="0" borderId="0" xfId="6" applyAlignment="1">
      <alignment wrapText="1"/>
    </xf>
    <xf numFmtId="9" fontId="36" fillId="8" borderId="0" xfId="8" applyFont="1" applyFill="1" applyBorder="1" applyAlignment="1">
      <alignment horizontal="center"/>
    </xf>
    <xf numFmtId="0" fontId="16" fillId="0" borderId="61" xfId="9" applyBorder="1" applyAlignment="1">
      <alignment horizontal="center" wrapText="1"/>
    </xf>
    <xf numFmtId="0" fontId="16" fillId="0" borderId="4" xfId="9" applyBorder="1" applyAlignment="1">
      <alignment horizontal="center" wrapText="1"/>
    </xf>
    <xf numFmtId="0" fontId="14" fillId="8" borderId="0" xfId="9" applyFont="1" applyFill="1" applyAlignment="1">
      <alignment horizontal="center"/>
    </xf>
    <xf numFmtId="0" fontId="16" fillId="9" borderId="82" xfId="9" applyFill="1" applyBorder="1" applyAlignment="1">
      <alignment horizontal="center" vertical="center" wrapText="1"/>
    </xf>
    <xf numFmtId="0" fontId="16" fillId="9" borderId="76" xfId="9" applyFill="1" applyBorder="1" applyAlignment="1">
      <alignment horizontal="center" vertical="center" wrapText="1"/>
    </xf>
    <xf numFmtId="0" fontId="16" fillId="9" borderId="66" xfId="9" applyFill="1" applyBorder="1" applyAlignment="1">
      <alignment horizontal="center" vertical="center" wrapText="1"/>
    </xf>
    <xf numFmtId="0" fontId="16" fillId="9" borderId="5" xfId="9" applyFill="1" applyBorder="1" applyAlignment="1">
      <alignment horizontal="center" wrapText="1"/>
    </xf>
    <xf numFmtId="0" fontId="0" fillId="9" borderId="82" xfId="5" applyFont="1" applyFill="1" applyBorder="1" applyAlignment="1">
      <alignment horizontal="center" vertical="center" wrapText="1"/>
    </xf>
    <xf numFmtId="0" fontId="16" fillId="9" borderId="76" xfId="5" applyFont="1" applyFill="1" applyBorder="1" applyAlignment="1">
      <alignment horizontal="center" vertical="center" wrapText="1"/>
    </xf>
    <xf numFmtId="0" fontId="16" fillId="9" borderId="66" xfId="5" applyFont="1" applyFill="1" applyBorder="1" applyAlignment="1">
      <alignment horizontal="center" vertical="center" wrapText="1"/>
    </xf>
    <xf numFmtId="177" fontId="16" fillId="9" borderId="82" xfId="9" applyNumberFormat="1" applyFill="1" applyBorder="1" applyAlignment="1">
      <alignment horizontal="center" vertical="center" wrapText="1"/>
    </xf>
    <xf numFmtId="177" fontId="16" fillId="9" borderId="76" xfId="9" applyNumberFormat="1" applyFill="1" applyBorder="1" applyAlignment="1">
      <alignment horizontal="center" vertical="center" wrapText="1"/>
    </xf>
    <xf numFmtId="177" fontId="16" fillId="9" borderId="66" xfId="9" applyNumberFormat="1" applyFill="1" applyBorder="1" applyAlignment="1">
      <alignment horizontal="center" vertical="center" wrapText="1"/>
    </xf>
    <xf numFmtId="0" fontId="32" fillId="0" borderId="0" xfId="6" applyFont="1" applyAlignment="1">
      <alignment horizontal="left" indent="1"/>
    </xf>
    <xf numFmtId="0" fontId="32" fillId="0" borderId="0" xfId="6" applyFont="1"/>
    <xf numFmtId="0" fontId="33" fillId="0" borderId="0" xfId="6" applyFont="1"/>
    <xf numFmtId="0" fontId="2" fillId="0" borderId="0" xfId="6"/>
  </cellXfs>
  <cellStyles count="12">
    <cellStyle name="Comma" xfId="1" builtinId="3"/>
    <cellStyle name="Currency" xfId="2" builtinId="4"/>
    <cellStyle name="Normal" xfId="0" builtinId="0"/>
    <cellStyle name="Normal 2" xfId="3" xr:uid="{00000000-0005-0000-0000-000003000000}"/>
    <cellStyle name="Normal 3" xfId="9" xr:uid="{17A2FBC2-EB90-4041-9CD5-EFF8AD183E2B}"/>
    <cellStyle name="Normal 3 2" xfId="10" xr:uid="{7C715AF4-8F8F-466A-A028-BD6AFB11C744}"/>
    <cellStyle name="Normal 4" xfId="11" xr:uid="{1BB80CF1-5E65-4B2F-8619-06E6E5A0AD2E}"/>
    <cellStyle name="Normal_1471bedford" xfId="4" xr:uid="{00000000-0005-0000-0000-000004000000}"/>
    <cellStyle name="Normal_coop sale price analysis v2" xfId="5" xr:uid="{00000000-0005-0000-0000-000005000000}"/>
    <cellStyle name="Normal_Form F - Financing Proposal" xfId="6" xr:uid="{00000000-0005-0000-0000-000006000000}"/>
    <cellStyle name="Percent" xfId="7" builtinId="5"/>
    <cellStyle name="Percent 2" xfId="8" xr:uid="{2B68880A-77DF-4660-BCDB-26B03CFEB369}"/>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940594</xdr:colOff>
      <xdr:row>19</xdr:row>
      <xdr:rowOff>107156</xdr:rowOff>
    </xdr:from>
    <xdr:to>
      <xdr:col>10</xdr:col>
      <xdr:colOff>631031</xdr:colOff>
      <xdr:row>20</xdr:row>
      <xdr:rowOff>107155</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14466094" y="4226719"/>
          <a:ext cx="952500" cy="22621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9</xdr:col>
      <xdr:colOff>890587</xdr:colOff>
      <xdr:row>8</xdr:row>
      <xdr:rowOff>223838</xdr:rowOff>
    </xdr:from>
    <xdr:to>
      <xdr:col>10</xdr:col>
      <xdr:colOff>581024</xdr:colOff>
      <xdr:row>9</xdr:row>
      <xdr:rowOff>223836</xdr:rowOff>
    </xdr:to>
    <xdr:sp macro="" textlink="">
      <xdr:nvSpPr>
        <xdr:cNvPr id="4" name="Right Arrow 1">
          <a:extLst>
            <a:ext uri="{FF2B5EF4-FFF2-40B4-BE49-F238E27FC236}">
              <a16:creationId xmlns:a16="http://schemas.microsoft.com/office/drawing/2014/main" id="{2B5CF093-D9A4-4C11-A996-B23FEF19F73A}"/>
            </a:ext>
          </a:extLst>
        </xdr:cNvPr>
        <xdr:cNvSpPr/>
      </xdr:nvSpPr>
      <xdr:spPr>
        <a:xfrm>
          <a:off x="14416087" y="1854994"/>
          <a:ext cx="952500" cy="22621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9</xdr:col>
      <xdr:colOff>888206</xdr:colOff>
      <xdr:row>9</xdr:row>
      <xdr:rowOff>221456</xdr:rowOff>
    </xdr:from>
    <xdr:to>
      <xdr:col>10</xdr:col>
      <xdr:colOff>578643</xdr:colOff>
      <xdr:row>10</xdr:row>
      <xdr:rowOff>221454</xdr:rowOff>
    </xdr:to>
    <xdr:sp macro="" textlink="">
      <xdr:nvSpPr>
        <xdr:cNvPr id="5" name="Right Arrow 1">
          <a:extLst>
            <a:ext uri="{FF2B5EF4-FFF2-40B4-BE49-F238E27FC236}">
              <a16:creationId xmlns:a16="http://schemas.microsoft.com/office/drawing/2014/main" id="{99F7DF44-8158-46F2-BC64-EB82763961DC}"/>
            </a:ext>
          </a:extLst>
        </xdr:cNvPr>
        <xdr:cNvSpPr/>
      </xdr:nvSpPr>
      <xdr:spPr>
        <a:xfrm>
          <a:off x="14413706" y="2078831"/>
          <a:ext cx="952500" cy="22621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9</xdr:col>
      <xdr:colOff>890587</xdr:colOff>
      <xdr:row>9</xdr:row>
      <xdr:rowOff>223838</xdr:rowOff>
    </xdr:from>
    <xdr:to>
      <xdr:col>10</xdr:col>
      <xdr:colOff>581024</xdr:colOff>
      <xdr:row>10</xdr:row>
      <xdr:rowOff>223836</xdr:rowOff>
    </xdr:to>
    <xdr:sp macro="" textlink="">
      <xdr:nvSpPr>
        <xdr:cNvPr id="6" name="Right Arrow 1">
          <a:extLst>
            <a:ext uri="{FF2B5EF4-FFF2-40B4-BE49-F238E27FC236}">
              <a16:creationId xmlns:a16="http://schemas.microsoft.com/office/drawing/2014/main" id="{BA9C9F34-8666-4335-8D0C-D4F1B58A9088}"/>
            </a:ext>
          </a:extLst>
        </xdr:cNvPr>
        <xdr:cNvSpPr/>
      </xdr:nvSpPr>
      <xdr:spPr>
        <a:xfrm>
          <a:off x="14416087" y="1854994"/>
          <a:ext cx="952500" cy="22621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andy%20Rad/Local%20Settings/Temporary%20Internet%20Files/OLK18F/Casablanca%20Houses82806%2075%20k%20in%20subsidy%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hpdnetapp001m/home_ag$/WINDOWS/Temporary%20Internet%20Files/Content.IE5/335PUELY/NHOP/VillageCar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INDOWS/Temporary%20Internet%20Files/Content.IE5/335PUELY/2001%20Series%20C,%20Sept%202001/East%20148th%20Street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shpdnetapp001m/home_ag$/WINDOWS/Temporary%20Internet%20Files/Content.IE5/335PUELY/Spring%20Creek%20I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OWS/Temporary%20Internet%20Files/Content.IE5/335PUELY/PLP--Round%20III/670stan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HPD/Every%20Necessary%20Document/AMIs/2022%20AMI%20rent%20calc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hared/PLP/plp%20shells/Credit%20Memo%20PLP%20Shell%202006%20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s and Uses"/>
      <sheetName val="Unit Distrib."/>
      <sheetName val="m &amp; O"/>
      <sheetName val="Devel. Bud"/>
      <sheetName val="Mort"/>
      <sheetName val="Cred Memo"/>
      <sheetName val="Sheet2"/>
      <sheetName val="Menu"/>
      <sheetName val="#REF"/>
      <sheetName val="2. mort"/>
      <sheetName val="2. units &amp; income"/>
      <sheetName val="Deprec"/>
      <sheetName val="1)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ources and Use"/>
      <sheetName val="Unit Distrib."/>
      <sheetName val="exp comp"/>
      <sheetName val="M and O"/>
      <sheetName val="Calc"/>
      <sheetName val="Devel. Bud (2)"/>
      <sheetName val="Mort (2)"/>
      <sheetName val="expenses (2)"/>
      <sheetName val="I_E"/>
      <sheetName val="expenses (1)"/>
      <sheetName val="Mort (1)"/>
      <sheetName val="Devel. Bud (1)"/>
      <sheetName val="service"/>
      <sheetName val="Sources_and_Use"/>
      <sheetName val="Unit_Distrib_"/>
      <sheetName val="exp_comp"/>
      <sheetName val="M_and_O"/>
      <sheetName val="Devel__Bud_(2)"/>
      <sheetName val="Mort_(2)"/>
      <sheetName val="expenses_(2)"/>
      <sheetName val="expenses_(1)"/>
      <sheetName val="Mort_(1)"/>
      <sheetName val="Devel__Bud_(1)"/>
      <sheetName val="Sources_&amp;_Uses"/>
      <sheetName val="Income"/>
      <sheetName val="Amortization_Table"/>
      <sheetName val="FORM-10_(A-F)"/>
      <sheetName val="M_and_O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Distrib."/>
      <sheetName val="Sources and Use"/>
      <sheetName val="M and O"/>
      <sheetName val="Mort"/>
      <sheetName val="Devel. Bud"/>
      <sheetName val="Int Calc (LT1st)"/>
      <sheetName val="Tax Credits"/>
      <sheetName val="Unit_Distrib_"/>
      <sheetName val="Sources_and_Use"/>
      <sheetName val="M_and_O"/>
      <sheetName val="Devel__Bud"/>
      <sheetName val="Int_Calc_(LT1st)"/>
      <sheetName val="Tax_Credits"/>
      <sheetName val="Devel_ Bud"/>
      <sheetName val="Units &amp; Incom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v Budg"/>
      <sheetName val="Int Calc "/>
      <sheetName val="Sources"/>
      <sheetName val="Unit Distrib."/>
      <sheetName val="M and O"/>
      <sheetName val="Mort"/>
      <sheetName val="Cash Flow"/>
      <sheetName val="Escrows"/>
      <sheetName val="Dev_Budg"/>
      <sheetName val="Int_Calc_"/>
      <sheetName val="Unit_Distrib_"/>
      <sheetName val="M_and_O"/>
      <sheetName val="Cash_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sheetName val="Income"/>
      <sheetName val="Loan Info."/>
      <sheetName val="Loan_Info_"/>
      <sheetName val="Unit Distrib."/>
      <sheetName val="Mort"/>
      <sheetName val="Sources and Use"/>
      <sheetName val="Devel. Bud"/>
      <sheetName val="M and O"/>
      <sheetName val="Cash Flow"/>
      <sheetName val="Loan_Info_1"/>
      <sheetName val="Unit_Distrib_"/>
      <sheetName val="Sources_and_Use"/>
      <sheetName val="Devel__Bud"/>
      <sheetName val="M_and_O"/>
      <sheetName val="Cash_Flow"/>
      <sheetName val="Property Summary &amp; Inputs"/>
      <sheetName val="Sources &amp; Uses"/>
      <sheetName val="Dev. Budget"/>
      <sheetName val="Mort Schedule"/>
      <sheetName val="Rent Roll"/>
      <sheetName val="M&amp;O"/>
      <sheetName val="Cons. Interest"/>
      <sheetName val="Balloon Schedule"/>
      <sheetName val="Amort"/>
      <sheetName val="J-51 Tax Analysis"/>
      <sheetName val="Article XI Tax Analysis"/>
      <sheetName val="OMB Project Summary"/>
      <sheetName val="BCQ"/>
      <sheetName val="OMB Cash Flow"/>
      <sheetName val="OMB M&amp;O "/>
      <sheetName val="PSSA"/>
      <sheetName val="Development Budget"/>
      <sheetName val="Energy Scope"/>
      <sheetName val="120G P &amp; L Summary"/>
      <sheetName val="main"/>
      <sheetName val="Unit Mix"/>
      <sheetName val="Sheet1"/>
      <sheetName val="Inputs"/>
      <sheetName val="S&amp;U"/>
      <sheetName val="FT2-1"/>
      <sheetName val="Cred Memo"/>
      <sheetName val="Instructions"/>
      <sheetName val="Cons Int &amp; Neg Arb"/>
      <sheetName val="Units &amp; Income"/>
      <sheetName val="Rent Chart"/>
      <sheetName val="Tax Credit "/>
      <sheetName val="Trade Pmt"/>
      <sheetName val="Pro Forma Summary"/>
      <sheetName val="Fl Area Summary"/>
      <sheetName val="Reso A"/>
      <sheetName val="Project Summary"/>
      <sheetName val="Bricks and Mortar"/>
      <sheetName val="Pre-Dev"/>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I &amp; Rent"/>
      <sheetName val="AMI Table"/>
      <sheetName val="Sheet1"/>
    </sheetNames>
    <sheetDataSet>
      <sheetData sheetId="0"/>
      <sheetData sheetId="1"/>
      <sheetData sheetId="2">
        <row r="1">
          <cell r="A1" t="str">
            <v>New Construction/Special Needs</v>
          </cell>
        </row>
        <row r="2">
          <cell r="A2" t="str">
            <v>Preservation/Rehab</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Mem1"/>
      <sheetName val="CMem2"/>
      <sheetName val="Mort"/>
      <sheetName val="Rents"/>
      <sheetName val="I&amp;E"/>
      <sheetName val="I&amp;A"/>
      <sheetName val="IA2"/>
      <sheetName val="Calcs"/>
      <sheetName val="CFA"/>
      <sheetName val="Assumptions"/>
      <sheetName val="BUDGET"/>
      <sheetName val="Tenant Mix"/>
      <sheetName val="Cred Me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6.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5.bin"/><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10" Type="http://schemas.openxmlformats.org/officeDocument/2006/relationships/drawing" Target="../drawings/drawing1.xml"/><Relationship Id="rId4" Type="http://schemas.openxmlformats.org/officeDocument/2006/relationships/printerSettings" Target="../printerSettings/printerSettings41.bin"/><Relationship Id="rId9" Type="http://schemas.openxmlformats.org/officeDocument/2006/relationships/printerSettings" Target="../printerSettings/printerSettings4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11" Type="http://schemas.openxmlformats.org/officeDocument/2006/relationships/comments" Target="../comments1.xml"/><Relationship Id="rId5" Type="http://schemas.openxmlformats.org/officeDocument/2006/relationships/printerSettings" Target="../printerSettings/printerSettings51.bin"/><Relationship Id="rId10" Type="http://schemas.openxmlformats.org/officeDocument/2006/relationships/vmlDrawing" Target="../drawings/vmlDrawing1.vml"/><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3.bin"/><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1"/>
  <sheetViews>
    <sheetView zoomScaleNormal="100" zoomScaleSheetLayoutView="100" workbookViewId="0">
      <selection activeCell="I6" sqref="I6"/>
    </sheetView>
  </sheetViews>
  <sheetFormatPr baseColWidth="10" defaultColWidth="8.7109375" defaultRowHeight="16"/>
  <sheetData>
    <row r="1" spans="1:11">
      <c r="A1" s="169" t="s">
        <v>0</v>
      </c>
      <c r="B1" s="165"/>
      <c r="C1" s="165"/>
      <c r="D1" s="165"/>
      <c r="E1" s="165"/>
      <c r="F1" s="165"/>
      <c r="G1" s="165"/>
      <c r="H1" s="165"/>
    </row>
    <row r="2" spans="1:11">
      <c r="A2" s="169" t="s">
        <v>1</v>
      </c>
      <c r="B2" s="165"/>
      <c r="C2" s="165"/>
      <c r="D2" s="165"/>
      <c r="E2" s="165"/>
      <c r="F2" s="165"/>
      <c r="G2" s="165"/>
      <c r="H2" s="165"/>
    </row>
    <row r="4" spans="1:11">
      <c r="A4" s="167" t="s">
        <v>2</v>
      </c>
      <c r="B4" s="51"/>
      <c r="C4" s="51"/>
      <c r="D4" s="51"/>
      <c r="E4" s="51"/>
      <c r="F4" s="51"/>
      <c r="G4" s="51"/>
      <c r="H4" s="51"/>
      <c r="I4" s="51"/>
      <c r="J4" s="51"/>
    </row>
    <row r="5" spans="1:11">
      <c r="A5" s="167"/>
      <c r="B5" s="51"/>
      <c r="C5" s="51"/>
      <c r="D5" s="51"/>
      <c r="E5" s="51"/>
      <c r="F5" s="51"/>
      <c r="G5" s="51"/>
      <c r="H5" s="51"/>
      <c r="I5" s="51"/>
      <c r="J5" s="51"/>
    </row>
    <row r="6" spans="1:11" ht="45" customHeight="1">
      <c r="A6" s="660" t="s">
        <v>3</v>
      </c>
      <c r="B6" s="660"/>
      <c r="C6" s="660"/>
      <c r="D6" s="660"/>
      <c r="E6" s="660"/>
      <c r="F6" s="660"/>
      <c r="G6" s="660"/>
      <c r="H6" s="660"/>
      <c r="I6" s="625"/>
      <c r="J6" s="625"/>
      <c r="K6" s="51"/>
    </row>
    <row r="7" spans="1:11">
      <c r="A7" s="51"/>
      <c r="B7" s="51"/>
      <c r="C7" s="51"/>
      <c r="D7" s="51"/>
      <c r="E7" s="51"/>
      <c r="F7" s="51"/>
      <c r="G7" s="51"/>
      <c r="H7" s="51"/>
      <c r="I7" s="51"/>
      <c r="J7" s="51"/>
    </row>
    <row r="8" spans="1:11" ht="45" customHeight="1">
      <c r="A8" s="660" t="s">
        <v>4</v>
      </c>
      <c r="B8" s="660"/>
      <c r="C8" s="660"/>
      <c r="D8" s="660"/>
      <c r="E8" s="660"/>
      <c r="F8" s="660"/>
      <c r="G8" s="660"/>
      <c r="H8" s="660"/>
      <c r="I8" s="336"/>
      <c r="J8" s="336"/>
      <c r="K8" s="166"/>
    </row>
    <row r="11" spans="1:11">
      <c r="A11" s="175"/>
    </row>
  </sheetData>
  <mergeCells count="2">
    <mergeCell ref="A6:H6"/>
    <mergeCell ref="A8:H8"/>
  </mergeCells>
  <phoneticPr fontId="29" type="noConversion"/>
  <pageMargins left="0.75" right="0.75" top="1" bottom="1" header="0.5" footer="0.5"/>
  <pageSetup firstPageNumber="205" fitToHeight="0" orientation="portrait" useFirstPageNumber="1" r:id="rId1"/>
  <headerFooter alignWithMargins="0">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5"/>
  <sheetViews>
    <sheetView zoomScale="70" zoomScaleNormal="70" workbookViewId="0">
      <selection activeCell="E9" sqref="E9"/>
    </sheetView>
  </sheetViews>
  <sheetFormatPr baseColWidth="10" defaultColWidth="8.7109375" defaultRowHeight="16"/>
  <cols>
    <col min="1" max="1" width="34.140625" customWidth="1"/>
    <col min="3" max="3" width="11.85546875" bestFit="1" customWidth="1"/>
    <col min="5" max="5" width="12.28515625" bestFit="1" customWidth="1"/>
    <col min="7" max="7" width="12.28515625" bestFit="1" customWidth="1"/>
    <col min="9" max="9" width="11.7109375" bestFit="1" customWidth="1"/>
  </cols>
  <sheetData>
    <row r="1" spans="1:9">
      <c r="A1" s="135" t="str">
        <f>'Sources and Use'!A1</f>
        <v xml:space="preserve">Project Name: </v>
      </c>
      <c r="B1" s="135"/>
      <c r="C1" s="135"/>
      <c r="D1" s="135"/>
      <c r="E1" s="135"/>
      <c r="F1" s="135"/>
      <c r="G1" s="157" t="str">
        <f>'Sources and Use'!C2</f>
        <v>Units:</v>
      </c>
      <c r="H1" s="135"/>
      <c r="I1" s="135">
        <f>'Units &amp; Income'!C23</f>
        <v>0</v>
      </c>
    </row>
    <row r="2" spans="1:9">
      <c r="A2" s="135" t="str">
        <f>'Sources and Use'!A2</f>
        <v>Site:</v>
      </c>
      <c r="B2" s="156"/>
      <c r="C2" s="135"/>
      <c r="D2" s="135"/>
      <c r="E2" s="135"/>
      <c r="F2" s="135"/>
      <c r="G2" s="135"/>
      <c r="H2" s="135"/>
      <c r="I2" s="135"/>
    </row>
    <row r="3" spans="1:9" ht="33" customHeight="1">
      <c r="A3" s="678" t="s">
        <v>421</v>
      </c>
      <c r="B3" s="678"/>
      <c r="C3" s="679"/>
      <c r="D3" s="679"/>
      <c r="E3" s="679"/>
      <c r="F3" s="679"/>
      <c r="G3" s="679"/>
      <c r="H3" s="679"/>
      <c r="I3" s="679"/>
    </row>
    <row r="4" spans="1:9">
      <c r="A4" s="678" t="s">
        <v>422</v>
      </c>
      <c r="B4" s="678"/>
      <c r="C4" s="679"/>
      <c r="D4" s="679"/>
      <c r="E4" s="679"/>
      <c r="F4" s="679"/>
      <c r="G4" s="679"/>
      <c r="H4" s="679"/>
      <c r="I4" s="679"/>
    </row>
    <row r="5" spans="1:9">
      <c r="A5" s="133"/>
      <c r="B5" s="133"/>
      <c r="C5" s="142" t="s">
        <v>423</v>
      </c>
      <c r="D5" s="142"/>
      <c r="E5" s="142" t="s">
        <v>424</v>
      </c>
      <c r="F5" s="142"/>
      <c r="G5" s="142" t="s">
        <v>425</v>
      </c>
      <c r="H5" s="143"/>
      <c r="I5" s="144" t="s">
        <v>426</v>
      </c>
    </row>
    <row r="6" spans="1:9">
      <c r="A6" s="145" t="s">
        <v>427</v>
      </c>
      <c r="B6" s="146"/>
      <c r="C6" s="147" t="s">
        <v>428</v>
      </c>
      <c r="D6" s="139"/>
      <c r="E6" s="147" t="s">
        <v>428</v>
      </c>
      <c r="F6" s="139"/>
      <c r="G6" s="147" t="s">
        <v>428</v>
      </c>
      <c r="H6" s="139"/>
      <c r="I6" s="148" t="s">
        <v>429</v>
      </c>
    </row>
    <row r="7" spans="1:9">
      <c r="A7" s="134" t="s">
        <v>430</v>
      </c>
    </row>
    <row r="8" spans="1:9">
      <c r="A8" s="396" t="s">
        <v>431</v>
      </c>
    </row>
    <row r="9" spans="1:9">
      <c r="A9" s="396" t="s">
        <v>432</v>
      </c>
    </row>
    <row r="10" spans="1:9">
      <c r="A10" s="396" t="s">
        <v>433</v>
      </c>
    </row>
    <row r="11" spans="1:9">
      <c r="A11" s="396" t="s">
        <v>434</v>
      </c>
    </row>
    <row r="12" spans="1:9">
      <c r="A12" s="396" t="s">
        <v>435</v>
      </c>
    </row>
    <row r="13" spans="1:9">
      <c r="A13" s="396" t="s">
        <v>436</v>
      </c>
    </row>
    <row r="14" spans="1:9">
      <c r="A14" s="396" t="s">
        <v>437</v>
      </c>
    </row>
    <row r="15" spans="1:9">
      <c r="A15" s="396" t="s">
        <v>438</v>
      </c>
    </row>
    <row r="16" spans="1:9">
      <c r="A16" s="396"/>
    </row>
    <row r="17" spans="1:1">
      <c r="A17" s="185" t="s">
        <v>439</v>
      </c>
    </row>
    <row r="18" spans="1:1">
      <c r="A18" s="396" t="s">
        <v>440</v>
      </c>
    </row>
    <row r="19" spans="1:1">
      <c r="A19" s="396" t="s">
        <v>441</v>
      </c>
    </row>
    <row r="20" spans="1:1">
      <c r="A20" s="396" t="s">
        <v>442</v>
      </c>
    </row>
    <row r="21" spans="1:1">
      <c r="A21" s="396" t="s">
        <v>443</v>
      </c>
    </row>
    <row r="22" spans="1:1">
      <c r="A22" s="396" t="s">
        <v>444</v>
      </c>
    </row>
    <row r="23" spans="1:1">
      <c r="A23" s="396" t="s">
        <v>445</v>
      </c>
    </row>
    <row r="24" spans="1:1">
      <c r="A24" s="396" t="s">
        <v>446</v>
      </c>
    </row>
    <row r="25" spans="1:1">
      <c r="A25" s="396" t="s">
        <v>447</v>
      </c>
    </row>
    <row r="26" spans="1:1">
      <c r="A26" s="396" t="s">
        <v>448</v>
      </c>
    </row>
    <row r="27" spans="1:1">
      <c r="A27" s="396" t="s">
        <v>449</v>
      </c>
    </row>
    <row r="28" spans="1:1">
      <c r="A28" s="396"/>
    </row>
    <row r="29" spans="1:1">
      <c r="A29" s="185" t="s">
        <v>450</v>
      </c>
    </row>
    <row r="30" spans="1:1">
      <c r="A30" s="396" t="s">
        <v>451</v>
      </c>
    </row>
    <row r="31" spans="1:1">
      <c r="A31" s="396" t="s">
        <v>452</v>
      </c>
    </row>
    <row r="32" spans="1:1">
      <c r="A32" s="396" t="s">
        <v>453</v>
      </c>
    </row>
    <row r="33" spans="1:1">
      <c r="A33" s="396" t="s">
        <v>454</v>
      </c>
    </row>
    <row r="34" spans="1:1">
      <c r="A34" s="396" t="s">
        <v>455</v>
      </c>
    </row>
    <row r="35" spans="1:1">
      <c r="A35" s="396" t="s">
        <v>456</v>
      </c>
    </row>
    <row r="36" spans="1:1">
      <c r="A36" s="396" t="s">
        <v>457</v>
      </c>
    </row>
    <row r="37" spans="1:1">
      <c r="A37" s="396" t="s">
        <v>458</v>
      </c>
    </row>
    <row r="38" spans="1:1">
      <c r="A38" s="396" t="s">
        <v>458</v>
      </c>
    </row>
    <row r="39" spans="1:1">
      <c r="A39" s="396" t="s">
        <v>459</v>
      </c>
    </row>
    <row r="40" spans="1:1">
      <c r="A40" s="396" t="s">
        <v>460</v>
      </c>
    </row>
    <row r="41" spans="1:1">
      <c r="A41" s="396" t="s">
        <v>461</v>
      </c>
    </row>
    <row r="42" spans="1:1">
      <c r="A42" s="396" t="s">
        <v>462</v>
      </c>
    </row>
    <row r="43" spans="1:1">
      <c r="A43" s="396" t="s">
        <v>463</v>
      </c>
    </row>
    <row r="44" spans="1:1">
      <c r="A44" s="396" t="s">
        <v>464</v>
      </c>
    </row>
    <row r="45" spans="1:1">
      <c r="A45" s="396" t="s">
        <v>465</v>
      </c>
    </row>
    <row r="46" spans="1:1">
      <c r="A46" s="396" t="s">
        <v>466</v>
      </c>
    </row>
    <row r="47" spans="1:1">
      <c r="A47" s="396" t="s">
        <v>467</v>
      </c>
    </row>
    <row r="48" spans="1:1">
      <c r="A48" s="396" t="s">
        <v>468</v>
      </c>
    </row>
    <row r="49" spans="1:1">
      <c r="A49" s="396"/>
    </row>
    <row r="50" spans="1:1">
      <c r="A50" s="185" t="s">
        <v>469</v>
      </c>
    </row>
    <row r="51" spans="1:1">
      <c r="A51" s="396" t="s">
        <v>470</v>
      </c>
    </row>
    <row r="52" spans="1:1">
      <c r="A52" s="396" t="s">
        <v>471</v>
      </c>
    </row>
    <row r="53" spans="1:1">
      <c r="A53" s="396" t="s">
        <v>472</v>
      </c>
    </row>
    <row r="54" spans="1:1">
      <c r="A54" s="396" t="s">
        <v>473</v>
      </c>
    </row>
    <row r="55" spans="1:1">
      <c r="A55" s="396" t="s">
        <v>474</v>
      </c>
    </row>
    <row r="56" spans="1:1">
      <c r="A56" s="396"/>
    </row>
    <row r="57" spans="1:1">
      <c r="A57" s="185" t="s">
        <v>475</v>
      </c>
    </row>
    <row r="58" spans="1:1">
      <c r="A58" s="396" t="s">
        <v>476</v>
      </c>
    </row>
    <row r="59" spans="1:1">
      <c r="A59" s="396" t="s">
        <v>477</v>
      </c>
    </row>
    <row r="60" spans="1:1">
      <c r="A60" s="396" t="s">
        <v>478</v>
      </c>
    </row>
    <row r="61" spans="1:1">
      <c r="A61" s="396" t="s">
        <v>479</v>
      </c>
    </row>
    <row r="62" spans="1:1">
      <c r="A62" s="396" t="s">
        <v>480</v>
      </c>
    </row>
    <row r="63" spans="1:1">
      <c r="A63" s="396" t="s">
        <v>481</v>
      </c>
    </row>
    <row r="64" spans="1:1">
      <c r="A64" s="396" t="s">
        <v>482</v>
      </c>
    </row>
    <row r="65" spans="1:1">
      <c r="A65" s="396" t="s">
        <v>483</v>
      </c>
    </row>
    <row r="66" spans="1:1">
      <c r="A66" s="396"/>
    </row>
    <row r="67" spans="1:1">
      <c r="A67" s="185" t="s">
        <v>484</v>
      </c>
    </row>
    <row r="68" spans="1:1">
      <c r="A68" s="396"/>
    </row>
    <row r="69" spans="1:1">
      <c r="A69" s="396"/>
    </row>
    <row r="70" spans="1:1">
      <c r="A70" s="396"/>
    </row>
    <row r="71" spans="1:1">
      <c r="A71" s="396"/>
    </row>
    <row r="72" spans="1:1">
      <c r="A72" s="396"/>
    </row>
    <row r="73" spans="1:1">
      <c r="A73" s="396"/>
    </row>
    <row r="74" spans="1:1">
      <c r="A74" s="396"/>
    </row>
    <row r="75" spans="1:1">
      <c r="A75" s="396"/>
    </row>
    <row r="76" spans="1:1">
      <c r="A76" s="396"/>
    </row>
    <row r="77" spans="1:1">
      <c r="A77" s="396"/>
    </row>
    <row r="78" spans="1:1">
      <c r="A78" s="396"/>
    </row>
    <row r="79" spans="1:1">
      <c r="A79" s="396"/>
    </row>
    <row r="80" spans="1:1">
      <c r="A80" s="396"/>
    </row>
    <row r="81" spans="1:1">
      <c r="A81" s="396"/>
    </row>
    <row r="82" spans="1:1">
      <c r="A82" s="396"/>
    </row>
    <row r="83" spans="1:1">
      <c r="A83" s="396"/>
    </row>
    <row r="84" spans="1:1">
      <c r="A84" s="396"/>
    </row>
    <row r="85" spans="1:1">
      <c r="A85" s="396"/>
    </row>
    <row r="86" spans="1:1">
      <c r="A86" s="396"/>
    </row>
    <row r="87" spans="1:1">
      <c r="A87" s="396"/>
    </row>
    <row r="88" spans="1:1">
      <c r="A88" s="396"/>
    </row>
    <row r="89" spans="1:1">
      <c r="A89" s="396"/>
    </row>
    <row r="90" spans="1:1">
      <c r="A90" s="396"/>
    </row>
    <row r="91" spans="1:1">
      <c r="A91" s="396"/>
    </row>
    <row r="92" spans="1:1">
      <c r="A92" s="396"/>
    </row>
    <row r="93" spans="1:1">
      <c r="A93" s="396"/>
    </row>
    <row r="94" spans="1:1">
      <c r="A94" s="396"/>
    </row>
    <row r="95" spans="1:1">
      <c r="A95" s="396"/>
    </row>
    <row r="96" spans="1:1">
      <c r="A96" s="396"/>
    </row>
    <row r="97" spans="1:1">
      <c r="A97" s="396"/>
    </row>
    <row r="98" spans="1:1">
      <c r="A98" s="396"/>
    </row>
    <row r="99" spans="1:1">
      <c r="A99" s="396"/>
    </row>
    <row r="100" spans="1:1">
      <c r="A100" s="396"/>
    </row>
    <row r="101" spans="1:1">
      <c r="A101" s="396"/>
    </row>
    <row r="102" spans="1:1">
      <c r="A102" s="396"/>
    </row>
    <row r="103" spans="1:1">
      <c r="A103" s="396"/>
    </row>
    <row r="104" spans="1:1">
      <c r="A104" s="396"/>
    </row>
    <row r="105" spans="1:1">
      <c r="A105" s="396"/>
    </row>
    <row r="106" spans="1:1">
      <c r="A106" s="396"/>
    </row>
    <row r="107" spans="1:1">
      <c r="A107" s="396"/>
    </row>
    <row r="108" spans="1:1">
      <c r="A108" s="396"/>
    </row>
    <row r="109" spans="1:1">
      <c r="A109" s="396"/>
    </row>
    <row r="110" spans="1:1">
      <c r="A110" s="396"/>
    </row>
    <row r="111" spans="1:1">
      <c r="A111" s="396"/>
    </row>
    <row r="112" spans="1:1">
      <c r="A112" s="396"/>
    </row>
    <row r="113" spans="1:1">
      <c r="A113" s="396"/>
    </row>
    <row r="114" spans="1:1">
      <c r="A114" s="396"/>
    </row>
    <row r="115" spans="1:1">
      <c r="A115" s="396"/>
    </row>
    <row r="116" spans="1:1">
      <c r="A116" s="396"/>
    </row>
    <row r="117" spans="1:1">
      <c r="A117" s="396"/>
    </row>
    <row r="118" spans="1:1">
      <c r="A118" s="396"/>
    </row>
    <row r="119" spans="1:1">
      <c r="A119" s="396"/>
    </row>
    <row r="120" spans="1:1">
      <c r="A120" s="396"/>
    </row>
    <row r="121" spans="1:1">
      <c r="A121" s="396"/>
    </row>
    <row r="122" spans="1:1">
      <c r="A122" s="396"/>
    </row>
    <row r="123" spans="1:1">
      <c r="A123" s="396"/>
    </row>
    <row r="124" spans="1:1">
      <c r="A124" s="396"/>
    </row>
    <row r="125" spans="1:1">
      <c r="A125" s="396"/>
    </row>
  </sheetData>
  <mergeCells count="2">
    <mergeCell ref="A3:I3"/>
    <mergeCell ref="A4:I4"/>
  </mergeCells>
  <phoneticPr fontId="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zoomScaleNormal="100" workbookViewId="0"/>
  </sheetViews>
  <sheetFormatPr baseColWidth="10" defaultColWidth="7.140625" defaultRowHeight="13"/>
  <cols>
    <col min="1" max="1" width="14.28515625" style="133" customWidth="1"/>
    <col min="2" max="4" width="7.140625" style="133" customWidth="1"/>
    <col min="5" max="5" width="15.7109375" style="133" customWidth="1"/>
    <col min="6" max="6" width="7.140625" style="133"/>
    <col min="7" max="7" width="10.7109375" style="133" customWidth="1"/>
    <col min="8" max="16384" width="7.140625" style="133"/>
  </cols>
  <sheetData>
    <row r="1" spans="1:7" s="159" customFormat="1" ht="16">
      <c r="A1" s="159" t="str">
        <f>'Sources and Use'!A1</f>
        <v xml:space="preserve">Project Name: </v>
      </c>
      <c r="F1" s="159" t="str">
        <f>'Sources and Use'!C2</f>
        <v>Units:</v>
      </c>
      <c r="G1" s="159">
        <f>'Units &amp; Income'!C23</f>
        <v>0</v>
      </c>
    </row>
    <row r="2" spans="1:7" s="160" customFormat="1" ht="20.25" customHeight="1">
      <c r="A2" s="159" t="str">
        <f>'Sources and Use'!A2</f>
        <v>Site:</v>
      </c>
      <c r="B2" s="159"/>
      <c r="C2" s="159"/>
      <c r="D2" s="159"/>
      <c r="E2" s="159"/>
      <c r="F2" s="159"/>
      <c r="G2" s="159"/>
    </row>
    <row r="3" spans="1:7" ht="11.25" customHeight="1"/>
    <row r="4" spans="1:7">
      <c r="A4" s="135" t="s">
        <v>485</v>
      </c>
    </row>
    <row r="6" spans="1:7">
      <c r="A6" s="133" t="s">
        <v>486</v>
      </c>
    </row>
    <row r="8" spans="1:7" ht="20.25" customHeight="1">
      <c r="A8" s="133" t="s">
        <v>487</v>
      </c>
      <c r="E8" s="186"/>
    </row>
    <row r="9" spans="1:7" ht="20.25" customHeight="1">
      <c r="A9" s="133" t="s">
        <v>488</v>
      </c>
      <c r="E9" s="187"/>
    </row>
    <row r="10" spans="1:7" ht="20.25" customHeight="1">
      <c r="A10" s="133" t="s">
        <v>489</v>
      </c>
      <c r="E10" s="187"/>
    </row>
    <row r="11" spans="1:7" ht="20.25" customHeight="1"/>
    <row r="12" spans="1:7" ht="18" customHeight="1">
      <c r="A12" s="133" t="s">
        <v>490</v>
      </c>
      <c r="E12" s="140">
        <f>'Units &amp; Income'!C5</f>
        <v>0</v>
      </c>
    </row>
    <row r="13" spans="1:7" ht="18" customHeight="1">
      <c r="A13" s="133" t="s">
        <v>491</v>
      </c>
      <c r="E13" s="140"/>
    </row>
    <row r="14" spans="1:7" ht="18" customHeight="1">
      <c r="A14" s="133" t="s">
        <v>492</v>
      </c>
      <c r="E14" s="140"/>
    </row>
    <row r="15" spans="1:7" ht="18" customHeight="1">
      <c r="A15" s="133" t="s">
        <v>493</v>
      </c>
      <c r="E15" s="140"/>
    </row>
    <row r="16" spans="1:7" ht="18" customHeight="1">
      <c r="A16" s="133" t="s">
        <v>494</v>
      </c>
      <c r="E16" s="140"/>
    </row>
    <row r="17" spans="1:5" ht="18" customHeight="1">
      <c r="A17" s="133" t="s">
        <v>495</v>
      </c>
      <c r="E17" s="140"/>
    </row>
    <row r="18" spans="1:5" ht="18" customHeight="1">
      <c r="A18" s="133" t="s">
        <v>496</v>
      </c>
      <c r="E18" s="140">
        <f>'Units &amp; Income'!C7</f>
        <v>0</v>
      </c>
    </row>
    <row r="19" spans="1:5" ht="18" customHeight="1">
      <c r="A19" s="133" t="s">
        <v>497</v>
      </c>
      <c r="E19" s="140">
        <f>'Units &amp; Income'!C8</f>
        <v>0</v>
      </c>
    </row>
    <row r="20" spans="1:5" ht="18" customHeight="1">
      <c r="A20" s="133" t="s">
        <v>498</v>
      </c>
      <c r="E20" s="140"/>
    </row>
    <row r="21" spans="1:5" ht="18" customHeight="1">
      <c r="A21" s="133" t="s">
        <v>499</v>
      </c>
      <c r="E21" s="140"/>
    </row>
    <row r="22" spans="1:5" ht="18" customHeight="1">
      <c r="A22" s="135" t="s">
        <v>500</v>
      </c>
      <c r="E22" s="141">
        <f>SUM(E12:E21)</f>
        <v>0</v>
      </c>
    </row>
  </sheetData>
  <phoneticPr fontId="29" type="noConversion"/>
  <printOptions horizontalCentered="1"/>
  <pageMargins left="0.75" right="0.75" top="1" bottom="1" header="0.5" footer="0.5"/>
  <pageSetup firstPageNumber="215"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5F65-4D2C-41D3-B53C-C1E97F1DDF0B}">
  <sheetPr>
    <pageSetUpPr fitToPage="1"/>
  </sheetPr>
  <dimension ref="A1:Z114"/>
  <sheetViews>
    <sheetView showGridLines="0" tabSelected="1" zoomScaleNormal="100" zoomScaleSheetLayoutView="100" workbookViewId="0">
      <selection activeCell="A2" sqref="A2"/>
    </sheetView>
  </sheetViews>
  <sheetFormatPr baseColWidth="10" defaultColWidth="8.7109375" defaultRowHeight="16"/>
  <cols>
    <col min="1" max="4" width="10.5703125" style="296" customWidth="1"/>
    <col min="5" max="7" width="10.5703125" style="297" customWidth="1"/>
    <col min="8" max="9" width="10.5703125" style="296" customWidth="1"/>
    <col min="10" max="10" width="1.140625" style="296" customWidth="1"/>
    <col min="11" max="12" width="10.5703125" style="296" customWidth="1"/>
    <col min="13" max="15" width="10.28515625" style="296" customWidth="1"/>
    <col min="16" max="16" width="3.28515625" style="296" customWidth="1"/>
    <col min="17" max="16384" width="8.7109375" style="296"/>
  </cols>
  <sheetData>
    <row r="1" spans="1:13">
      <c r="A1" s="295" t="s">
        <v>501</v>
      </c>
      <c r="F1" s="298"/>
      <c r="G1" s="298"/>
    </row>
    <row r="2" spans="1:13">
      <c r="A2" s="295"/>
      <c r="F2" s="298"/>
      <c r="G2" s="296"/>
    </row>
    <row r="3" spans="1:13">
      <c r="A3" s="299"/>
      <c r="B3" s="299"/>
      <c r="C3" s="299"/>
      <c r="D3" s="299"/>
      <c r="E3" s="681" t="s">
        <v>502</v>
      </c>
      <c r="F3" s="681" t="s">
        <v>503</v>
      </c>
      <c r="G3" s="681" t="s">
        <v>190</v>
      </c>
      <c r="H3" s="681" t="s">
        <v>504</v>
      </c>
      <c r="I3" s="299"/>
      <c r="J3" s="299"/>
      <c r="K3" s="299"/>
      <c r="L3" s="299"/>
      <c r="M3" s="299"/>
    </row>
    <row r="4" spans="1:13" ht="31.5" customHeight="1">
      <c r="E4" s="682"/>
      <c r="F4" s="682"/>
      <c r="G4" s="682"/>
      <c r="H4" s="682"/>
    </row>
    <row r="5" spans="1:13">
      <c r="A5" s="531">
        <v>141200</v>
      </c>
      <c r="B5" s="298" t="s">
        <v>505</v>
      </c>
      <c r="D5" s="300" t="s">
        <v>195</v>
      </c>
      <c r="E5" s="326">
        <v>86</v>
      </c>
      <c r="F5" s="326">
        <v>75</v>
      </c>
      <c r="G5" s="326">
        <v>24</v>
      </c>
      <c r="H5" s="532">
        <f t="shared" ref="H5:H10" si="0">F5+G5</f>
        <v>99</v>
      </c>
      <c r="I5" s="301"/>
      <c r="K5" s="302"/>
    </row>
    <row r="6" spans="1:13">
      <c r="A6" s="531">
        <v>2451</v>
      </c>
      <c r="B6" s="621" t="s">
        <v>197</v>
      </c>
      <c r="D6" s="300" t="s">
        <v>199</v>
      </c>
      <c r="E6" s="326">
        <v>98</v>
      </c>
      <c r="F6" s="326">
        <v>85</v>
      </c>
      <c r="G6" s="326">
        <v>27</v>
      </c>
      <c r="H6" s="532">
        <f t="shared" si="0"/>
        <v>112</v>
      </c>
      <c r="I6" s="301"/>
      <c r="K6" s="302"/>
    </row>
    <row r="7" spans="1:13">
      <c r="A7" s="533">
        <v>0.3</v>
      </c>
      <c r="B7" s="296" t="s">
        <v>506</v>
      </c>
      <c r="D7" s="300" t="s">
        <v>201</v>
      </c>
      <c r="E7" s="326">
        <v>129</v>
      </c>
      <c r="F7" s="326">
        <v>110</v>
      </c>
      <c r="G7" s="326">
        <v>31</v>
      </c>
      <c r="H7" s="532">
        <f t="shared" si="0"/>
        <v>141</v>
      </c>
      <c r="I7" s="301"/>
      <c r="K7" s="302"/>
    </row>
    <row r="8" spans="1:13">
      <c r="D8" s="300" t="s">
        <v>204</v>
      </c>
      <c r="E8" s="326">
        <v>161</v>
      </c>
      <c r="F8" s="326">
        <v>136</v>
      </c>
      <c r="G8" s="326">
        <v>35</v>
      </c>
      <c r="H8" s="532">
        <f t="shared" si="0"/>
        <v>171</v>
      </c>
      <c r="I8" s="301"/>
      <c r="K8" s="302"/>
    </row>
    <row r="9" spans="1:13">
      <c r="D9" s="300" t="s">
        <v>507</v>
      </c>
      <c r="E9" s="326">
        <v>193</v>
      </c>
      <c r="F9" s="326">
        <v>162</v>
      </c>
      <c r="G9" s="326">
        <v>39</v>
      </c>
      <c r="H9" s="532">
        <f t="shared" si="0"/>
        <v>201</v>
      </c>
      <c r="I9" s="301"/>
      <c r="K9" s="302"/>
    </row>
    <row r="10" spans="1:13">
      <c r="D10" s="300" t="s">
        <v>508</v>
      </c>
      <c r="E10" s="326">
        <v>225</v>
      </c>
      <c r="F10" s="326">
        <v>188</v>
      </c>
      <c r="G10" s="326">
        <v>43</v>
      </c>
      <c r="H10" s="532">
        <f t="shared" si="0"/>
        <v>231</v>
      </c>
      <c r="I10" s="301"/>
      <c r="K10" s="302"/>
    </row>
    <row r="11" spans="1:13" ht="14.25" customHeight="1">
      <c r="E11" s="296"/>
      <c r="F11" s="296"/>
      <c r="G11" s="296"/>
    </row>
    <row r="12" spans="1:13" ht="23.25" customHeight="1">
      <c r="D12" s="300" t="s">
        <v>509</v>
      </c>
      <c r="E12" s="534">
        <v>44927</v>
      </c>
      <c r="F12" s="298" t="s">
        <v>510</v>
      </c>
    </row>
    <row r="13" spans="1:13">
      <c r="A13" s="683" t="s">
        <v>511</v>
      </c>
      <c r="B13" s="683"/>
      <c r="C13" s="683"/>
      <c r="E13" s="296"/>
      <c r="F13" s="296"/>
      <c r="G13" s="296"/>
    </row>
    <row r="14" spans="1:13">
      <c r="A14" s="680" t="s">
        <v>512</v>
      </c>
      <c r="B14" s="680"/>
      <c r="C14" s="680"/>
      <c r="E14" s="296"/>
      <c r="F14" s="296"/>
      <c r="G14" s="296"/>
    </row>
    <row r="15" spans="1:13">
      <c r="A15" s="303" t="s">
        <v>513</v>
      </c>
      <c r="E15" s="296"/>
      <c r="F15" s="296"/>
      <c r="G15" s="296"/>
    </row>
    <row r="16" spans="1:13">
      <c r="A16" s="295"/>
      <c r="F16" s="298"/>
    </row>
    <row r="17" spans="1:26">
      <c r="A17" s="533">
        <f>'Units &amp; Income'!B61</f>
        <v>0.27</v>
      </c>
      <c r="B17" s="655" t="s">
        <v>514</v>
      </c>
      <c r="C17" s="532">
        <f>IF($A$17=50%,CEILING(MROUND(MROUND($A$5*50%,50)*$A$17/50%,50)*L23,50),CEILING(MROUND($A$5*50%,50)*L23,50)*$A$17/50%)</f>
        <v>38124</v>
      </c>
      <c r="D17" s="304" t="s">
        <v>505</v>
      </c>
      <c r="E17" s="299"/>
      <c r="F17" s="299"/>
      <c r="G17" s="299"/>
      <c r="H17" s="299"/>
      <c r="I17" s="299"/>
      <c r="J17" s="299"/>
      <c r="K17" s="299"/>
      <c r="L17" s="299"/>
    </row>
    <row r="18" spans="1:26">
      <c r="E18" s="535" t="s">
        <v>515</v>
      </c>
      <c r="F18" s="535" t="s">
        <v>515</v>
      </c>
      <c r="G18" s="535" t="s">
        <v>515</v>
      </c>
      <c r="H18" s="535" t="s">
        <v>515</v>
      </c>
      <c r="I18" s="535" t="s">
        <v>515</v>
      </c>
      <c r="K18" s="305"/>
      <c r="L18" s="306"/>
      <c r="M18" s="307" t="s">
        <v>288</v>
      </c>
    </row>
    <row r="19" spans="1:26">
      <c r="A19" s="308"/>
      <c r="B19" s="309"/>
      <c r="C19" s="309"/>
      <c r="D19" s="309"/>
      <c r="E19" s="684" t="s">
        <v>196</v>
      </c>
      <c r="F19" s="687" t="s">
        <v>516</v>
      </c>
      <c r="G19" s="687" t="s">
        <v>502</v>
      </c>
      <c r="H19" s="688" t="s">
        <v>517</v>
      </c>
      <c r="I19" s="691" t="s">
        <v>518</v>
      </c>
      <c r="J19" s="297"/>
      <c r="K19" s="622" t="s">
        <v>519</v>
      </c>
      <c r="L19" s="310" t="s">
        <v>520</v>
      </c>
      <c r="M19" s="536" t="s">
        <v>521</v>
      </c>
    </row>
    <row r="20" spans="1:26">
      <c r="A20" s="623"/>
      <c r="B20" s="311"/>
      <c r="C20" s="311"/>
      <c r="D20" s="312" t="s">
        <v>288</v>
      </c>
      <c r="E20" s="685"/>
      <c r="F20" s="687"/>
      <c r="G20" s="687"/>
      <c r="H20" s="689"/>
      <c r="I20" s="692"/>
      <c r="J20" s="313"/>
      <c r="K20" s="656">
        <f t="shared" ref="K20:K25" si="1">K21-1</f>
        <v>1</v>
      </c>
      <c r="L20" s="537">
        <v>0.7</v>
      </c>
      <c r="M20" s="532">
        <f t="shared" ref="M20:M27" si="2">IF($A$17=50%,CEILING(MROUND(MROUND($A$5*50%,50)*$A$17/50%,50)*L20,50),CEILING(MROUND($A$5*50%,50)*L20,50)*$A$17/50%)</f>
        <v>26703</v>
      </c>
      <c r="N20" s="314"/>
      <c r="O20" s="302"/>
    </row>
    <row r="21" spans="1:26" ht="31" customHeight="1">
      <c r="A21" s="315"/>
      <c r="B21" s="316" t="s">
        <v>211</v>
      </c>
      <c r="C21" s="317" t="s">
        <v>212</v>
      </c>
      <c r="D21" s="318" t="s">
        <v>521</v>
      </c>
      <c r="E21" s="686"/>
      <c r="F21" s="687"/>
      <c r="G21" s="687"/>
      <c r="H21" s="690"/>
      <c r="I21" s="693"/>
      <c r="J21" s="319"/>
      <c r="K21" s="656">
        <f t="shared" si="1"/>
        <v>2</v>
      </c>
      <c r="L21" s="537">
        <f>L20+0.1</f>
        <v>0.79999999999999993</v>
      </c>
      <c r="M21" s="532">
        <f t="shared" si="2"/>
        <v>30510.000000000004</v>
      </c>
      <c r="N21" s="314"/>
      <c r="O21" s="302"/>
    </row>
    <row r="22" spans="1:26">
      <c r="A22" s="656" t="s">
        <v>195</v>
      </c>
      <c r="B22" s="538">
        <v>1</v>
      </c>
      <c r="C22" s="539">
        <f>IF(AND(A17&lt;=60%,$A$14="New Construction/Special Needs"),0.6,(IF(AND(A17&lt;&gt;60%,$A$14="Preservation/Rehab"),0.7,(IF(AND(A17=60%,$A$14="Preservation/Rehab"),0.7,0.6)))))</f>
        <v>0.6</v>
      </c>
      <c r="D22" s="657">
        <f>IF($A$17=50%,CEILING(MROUND(MROUND($A$5*50%,50)*$A$17/50%,50)*C22,50),CEILING(MROUND($A$5*50%,50)*C22,50)*$A$17/50%)</f>
        <v>22896</v>
      </c>
      <c r="E22" s="532">
        <f>ROUNDDOWN(D22*$A$7/12,0)</f>
        <v>572</v>
      </c>
      <c r="F22" s="658">
        <f>E22-VLOOKUP(A22,$D$5:$H$10,3,FALSE)</f>
        <v>497</v>
      </c>
      <c r="G22" s="659">
        <f>E22-VLOOKUP(A22,$D$5:$G$10,2,FALSE)</f>
        <v>486</v>
      </c>
      <c r="H22" s="532">
        <f>E22-VLOOKUP(A22,$D$5:$H$10,4,FALSE)</f>
        <v>548</v>
      </c>
      <c r="I22" s="532">
        <f>E22-VLOOKUP(A22,$D$5:$H$10,5,FALSE)</f>
        <v>473</v>
      </c>
      <c r="J22" s="320"/>
      <c r="K22" s="656">
        <f t="shared" si="1"/>
        <v>3</v>
      </c>
      <c r="L22" s="537">
        <f>L21+0.1</f>
        <v>0.89999999999999991</v>
      </c>
      <c r="M22" s="532">
        <f t="shared" si="2"/>
        <v>34317</v>
      </c>
      <c r="N22" s="314"/>
      <c r="O22" s="302"/>
    </row>
    <row r="23" spans="1:26">
      <c r="A23" s="656" t="s">
        <v>199</v>
      </c>
      <c r="B23" s="538">
        <v>1.5</v>
      </c>
      <c r="C23" s="539">
        <v>0.75</v>
      </c>
      <c r="D23" s="657">
        <f>AVERAGE(M20:M21)</f>
        <v>28606.5</v>
      </c>
      <c r="E23" s="532">
        <f t="shared" ref="E23:E27" si="3">ROUNDDOWN(D23*$A$7/12,0)</f>
        <v>715</v>
      </c>
      <c r="F23" s="658">
        <f t="shared" ref="F23:F27" si="4">E23-VLOOKUP(A23,$D$5:$H$10,3,FALSE)</f>
        <v>630</v>
      </c>
      <c r="G23" s="659">
        <f t="shared" ref="G23:G27" si="5">E23-VLOOKUP(A23,$D$5:$G$10,2,FALSE)</f>
        <v>617</v>
      </c>
      <c r="H23" s="532">
        <f t="shared" ref="H23:H27" si="6">E23-VLOOKUP(A23,$D$5:$H$10,4,FALSE)</f>
        <v>688</v>
      </c>
      <c r="I23" s="532">
        <f t="shared" ref="I23:I27" si="7">E23-VLOOKUP(A23,$D$5:$H$10,5,FALSE)</f>
        <v>603</v>
      </c>
      <c r="J23" s="320"/>
      <c r="K23" s="656">
        <f t="shared" si="1"/>
        <v>4</v>
      </c>
      <c r="L23" s="537">
        <f>L22+0.1</f>
        <v>0.99999999999999989</v>
      </c>
      <c r="M23" s="532">
        <f t="shared" si="2"/>
        <v>38124</v>
      </c>
      <c r="N23" s="314"/>
      <c r="O23" s="302"/>
      <c r="R23" s="321"/>
      <c r="S23" s="321"/>
      <c r="T23" s="321"/>
      <c r="U23" s="321"/>
      <c r="V23" s="321"/>
      <c r="W23" s="321"/>
      <c r="X23" s="321"/>
      <c r="Y23" s="321"/>
      <c r="Z23" s="321"/>
    </row>
    <row r="24" spans="1:26">
      <c r="A24" s="656" t="s">
        <v>201</v>
      </c>
      <c r="B24" s="538">
        <v>3</v>
      </c>
      <c r="C24" s="539">
        <v>0.9</v>
      </c>
      <c r="D24" s="657">
        <f>IF($A$17=50%,CEILING(MROUND(MROUND($A$5*50%,50)*$A$17/50%,50)*C24,50),CEILING(MROUND($A$5*50%,50)*C24,50)*$A$17/50%)</f>
        <v>34317</v>
      </c>
      <c r="E24" s="532">
        <f t="shared" si="3"/>
        <v>857</v>
      </c>
      <c r="F24" s="658">
        <f t="shared" si="4"/>
        <v>747</v>
      </c>
      <c r="G24" s="659">
        <f t="shared" si="5"/>
        <v>728</v>
      </c>
      <c r="H24" s="532">
        <f t="shared" si="6"/>
        <v>826</v>
      </c>
      <c r="I24" s="532">
        <f t="shared" si="7"/>
        <v>716</v>
      </c>
      <c r="J24" s="320"/>
      <c r="K24" s="656">
        <f t="shared" si="1"/>
        <v>5</v>
      </c>
      <c r="L24" s="537">
        <f>L23+0.08</f>
        <v>1.0799999999999998</v>
      </c>
      <c r="M24" s="532">
        <f t="shared" si="2"/>
        <v>41175</v>
      </c>
      <c r="N24" s="314"/>
      <c r="O24" s="302"/>
      <c r="R24" s="321"/>
      <c r="S24" s="321"/>
      <c r="T24" s="321"/>
      <c r="U24" s="321"/>
      <c r="V24" s="321"/>
      <c r="W24" s="321"/>
      <c r="X24" s="321"/>
      <c r="Y24" s="321"/>
      <c r="Z24" s="321"/>
    </row>
    <row r="25" spans="1:26">
      <c r="A25" s="656" t="s">
        <v>204</v>
      </c>
      <c r="B25" s="538">
        <v>4.5</v>
      </c>
      <c r="C25" s="539">
        <v>1.04</v>
      </c>
      <c r="D25" s="657">
        <f>AVERAGE(M23:M24)</f>
        <v>39649.5</v>
      </c>
      <c r="E25" s="532">
        <f t="shared" si="3"/>
        <v>991</v>
      </c>
      <c r="F25" s="658">
        <f t="shared" si="4"/>
        <v>855</v>
      </c>
      <c r="G25" s="659">
        <f t="shared" si="5"/>
        <v>830</v>
      </c>
      <c r="H25" s="532">
        <f t="shared" si="6"/>
        <v>956</v>
      </c>
      <c r="I25" s="532">
        <f t="shared" si="7"/>
        <v>820</v>
      </c>
      <c r="J25" s="320"/>
      <c r="K25" s="656">
        <f t="shared" si="1"/>
        <v>6</v>
      </c>
      <c r="L25" s="537">
        <f>L24+0.08</f>
        <v>1.1599999999999999</v>
      </c>
      <c r="M25" s="532">
        <f t="shared" si="2"/>
        <v>44226</v>
      </c>
      <c r="N25" s="314"/>
      <c r="O25" s="302"/>
      <c r="R25" s="321"/>
      <c r="S25" s="321"/>
      <c r="T25" s="321"/>
      <c r="U25" s="321"/>
      <c r="V25" s="321"/>
      <c r="W25" s="321"/>
      <c r="X25" s="321"/>
      <c r="Y25" s="321"/>
      <c r="Z25" s="321"/>
    </row>
    <row r="26" spans="1:26">
      <c r="A26" s="656" t="s">
        <v>507</v>
      </c>
      <c r="B26" s="538">
        <v>6</v>
      </c>
      <c r="C26" s="539">
        <v>1.1599999999999999</v>
      </c>
      <c r="D26" s="657">
        <f>IF($A$17=50%,CEILING(MROUND(MROUND($A$5*50%,50)*$A$17/50%,50)*C26,50),CEILING(MROUND($A$5*50%,50)*C26,50)*$A$17/50%)</f>
        <v>44226</v>
      </c>
      <c r="E26" s="532">
        <f t="shared" si="3"/>
        <v>1105</v>
      </c>
      <c r="F26" s="658">
        <f t="shared" si="4"/>
        <v>943</v>
      </c>
      <c r="G26" s="659">
        <f t="shared" si="5"/>
        <v>912</v>
      </c>
      <c r="H26" s="532">
        <f t="shared" si="6"/>
        <v>1066</v>
      </c>
      <c r="I26" s="532">
        <f t="shared" si="7"/>
        <v>904</v>
      </c>
      <c r="J26" s="320"/>
      <c r="K26" s="656">
        <f>K27-1</f>
        <v>7</v>
      </c>
      <c r="L26" s="537">
        <f>L25+0.08</f>
        <v>1.24</v>
      </c>
      <c r="M26" s="532">
        <f t="shared" si="2"/>
        <v>47277</v>
      </c>
      <c r="N26" s="314"/>
      <c r="O26" s="302"/>
      <c r="R26" s="321"/>
      <c r="S26" s="321"/>
      <c r="T26" s="321"/>
      <c r="U26" s="321"/>
    </row>
    <row r="27" spans="1:26">
      <c r="A27" s="656" t="s">
        <v>508</v>
      </c>
      <c r="B27" s="538">
        <v>7.5</v>
      </c>
      <c r="C27" s="539">
        <f>1.28</f>
        <v>1.28</v>
      </c>
      <c r="D27" s="657">
        <f>AVERAGE(M26:M27)</f>
        <v>48802.5</v>
      </c>
      <c r="E27" s="532">
        <f t="shared" si="3"/>
        <v>1220</v>
      </c>
      <c r="F27" s="658">
        <f t="shared" si="4"/>
        <v>1032</v>
      </c>
      <c r="G27" s="659">
        <f t="shared" si="5"/>
        <v>995</v>
      </c>
      <c r="H27" s="532">
        <f t="shared" si="6"/>
        <v>1177</v>
      </c>
      <c r="I27" s="532">
        <f t="shared" si="7"/>
        <v>989</v>
      </c>
      <c r="J27" s="320"/>
      <c r="K27" s="656">
        <v>8</v>
      </c>
      <c r="L27" s="537">
        <f>L26+0.08</f>
        <v>1.32</v>
      </c>
      <c r="M27" s="532">
        <f t="shared" si="2"/>
        <v>50328</v>
      </c>
      <c r="N27" s="314"/>
      <c r="O27" s="302"/>
      <c r="R27" s="321"/>
      <c r="S27" s="321"/>
      <c r="T27" s="321"/>
      <c r="U27" s="321"/>
    </row>
    <row r="28" spans="1:26">
      <c r="A28" s="295"/>
      <c r="F28" s="298"/>
    </row>
    <row r="29" spans="1:26">
      <c r="A29" s="533">
        <f>'Units &amp; Income'!B69</f>
        <v>0.37</v>
      </c>
      <c r="B29" s="655" t="s">
        <v>514</v>
      </c>
      <c r="C29" s="532">
        <f>IF($A$29=50%,CEILING(MROUND(MROUND($A$5*50%,50)*$A$29/50%,50)*L35,50),CEILING(MROUND($A$5*50%,50)*L35,50)*$A$29/50%)</f>
        <v>52244</v>
      </c>
      <c r="D29" s="304" t="s">
        <v>505</v>
      </c>
      <c r="E29" s="299"/>
      <c r="F29" s="299"/>
      <c r="G29" s="299"/>
      <c r="H29" s="299"/>
      <c r="I29" s="299"/>
      <c r="J29" s="299"/>
      <c r="K29" s="299"/>
      <c r="L29" s="299"/>
    </row>
    <row r="30" spans="1:26">
      <c r="E30" s="535" t="s">
        <v>515</v>
      </c>
      <c r="F30" s="535" t="s">
        <v>515</v>
      </c>
      <c r="G30" s="535" t="s">
        <v>515</v>
      </c>
      <c r="H30" s="535" t="s">
        <v>515</v>
      </c>
      <c r="I30" s="535" t="s">
        <v>515</v>
      </c>
      <c r="K30" s="305"/>
      <c r="L30" s="306"/>
      <c r="M30" s="307" t="s">
        <v>288</v>
      </c>
    </row>
    <row r="31" spans="1:26" ht="15.75" customHeight="1">
      <c r="A31" s="308"/>
      <c r="B31" s="309"/>
      <c r="C31" s="309"/>
      <c r="D31" s="309"/>
      <c r="E31" s="684" t="s">
        <v>196</v>
      </c>
      <c r="F31" s="687" t="s">
        <v>516</v>
      </c>
      <c r="G31" s="687" t="s">
        <v>502</v>
      </c>
      <c r="H31" s="688" t="s">
        <v>517</v>
      </c>
      <c r="I31" s="691" t="s">
        <v>518</v>
      </c>
      <c r="J31" s="297"/>
      <c r="K31" s="622" t="s">
        <v>519</v>
      </c>
      <c r="L31" s="310" t="s">
        <v>520</v>
      </c>
      <c r="M31" s="536" t="s">
        <v>521</v>
      </c>
    </row>
    <row r="32" spans="1:26">
      <c r="A32" s="623"/>
      <c r="B32" s="311"/>
      <c r="C32" s="311"/>
      <c r="D32" s="312" t="s">
        <v>288</v>
      </c>
      <c r="E32" s="685"/>
      <c r="F32" s="687"/>
      <c r="G32" s="687"/>
      <c r="H32" s="689"/>
      <c r="I32" s="692"/>
      <c r="J32" s="313"/>
      <c r="K32" s="656">
        <f t="shared" ref="K32:K37" si="8">K33-1</f>
        <v>1</v>
      </c>
      <c r="L32" s="537">
        <v>0.7</v>
      </c>
      <c r="M32" s="532">
        <f t="shared" ref="M32:M39" si="9">IF($A$29=50%,CEILING(MROUND(MROUND($A$5*50%,50)*$A$29/50%,50)*L32,50),CEILING(MROUND($A$5*50%,50)*L32,50)*$A$29/50%)</f>
        <v>36593</v>
      </c>
    </row>
    <row r="33" spans="1:26" ht="28" customHeight="1">
      <c r="A33" s="315"/>
      <c r="B33" s="316" t="s">
        <v>211</v>
      </c>
      <c r="C33" s="317" t="s">
        <v>212</v>
      </c>
      <c r="D33" s="318" t="s">
        <v>521</v>
      </c>
      <c r="E33" s="686"/>
      <c r="F33" s="687"/>
      <c r="G33" s="687"/>
      <c r="H33" s="690"/>
      <c r="I33" s="693"/>
      <c r="J33" s="319"/>
      <c r="K33" s="656">
        <f t="shared" si="8"/>
        <v>2</v>
      </c>
      <c r="L33" s="537">
        <f>L32+0.1</f>
        <v>0.79999999999999993</v>
      </c>
      <c r="M33" s="532">
        <f t="shared" si="9"/>
        <v>41810</v>
      </c>
    </row>
    <row r="34" spans="1:26">
      <c r="A34" s="656" t="s">
        <v>195</v>
      </c>
      <c r="B34" s="538">
        <v>1</v>
      </c>
      <c r="C34" s="539">
        <f>IF(AND(A29&lt;=60%,$A$14="New Construction/Special Needs"),0.6,(IF(AND(A29&lt;&gt;60%,$A$14="Preservation/Rehab"),0.7,(IF(AND(A29=60%,$A$14="Preservation/Rehab"),0.7,0.6)))))</f>
        <v>0.6</v>
      </c>
      <c r="D34" s="657">
        <f>IF($A$29=50%,CEILING(MROUND(MROUND($A$5*50%,50)*$A$29/50%,50)*C34,50),CEILING(MROUND($A$5*50%,50)*C34,50)*$A$29/50%)</f>
        <v>31376</v>
      </c>
      <c r="E34" s="532">
        <f t="shared" ref="E34:E39" si="10">ROUNDDOWN(D34*$A$7/12,0)</f>
        <v>784</v>
      </c>
      <c r="F34" s="658">
        <f>E34-VLOOKUP(A34,$D$5:$H$10,3,FALSE)</f>
        <v>709</v>
      </c>
      <c r="G34" s="659">
        <f>E34-VLOOKUP(A34,$D$5:$G$10,2,FALSE)</f>
        <v>698</v>
      </c>
      <c r="H34" s="532">
        <f>E34-VLOOKUP(A34,$D$5:$H$10,4,FALSE)</f>
        <v>760</v>
      </c>
      <c r="I34" s="532">
        <f>E34-VLOOKUP(A34,$D$5:$H$10,5,FALSE)</f>
        <v>685</v>
      </c>
      <c r="J34" s="320"/>
      <c r="K34" s="656">
        <f t="shared" si="8"/>
        <v>3</v>
      </c>
      <c r="L34" s="537">
        <f>L33+0.1</f>
        <v>0.89999999999999991</v>
      </c>
      <c r="M34" s="532">
        <f t="shared" si="9"/>
        <v>47027</v>
      </c>
    </row>
    <row r="35" spans="1:26">
      <c r="A35" s="656" t="s">
        <v>199</v>
      </c>
      <c r="B35" s="538">
        <v>1.5</v>
      </c>
      <c r="C35" s="539">
        <v>0.75</v>
      </c>
      <c r="D35" s="657">
        <f>AVERAGE(M32:M33)</f>
        <v>39201.5</v>
      </c>
      <c r="E35" s="532">
        <f t="shared" si="10"/>
        <v>980</v>
      </c>
      <c r="F35" s="658">
        <f t="shared" ref="F35:F39" si="11">E35-VLOOKUP(A35,$D$5:$H$10,3,FALSE)</f>
        <v>895</v>
      </c>
      <c r="G35" s="659">
        <f t="shared" ref="G35:G39" si="12">E35-VLOOKUP(A35,$D$5:$G$10,2,FALSE)</f>
        <v>882</v>
      </c>
      <c r="H35" s="532">
        <f t="shared" ref="H35:H39" si="13">E35-VLOOKUP(A35,$D$5:$H$10,4,FALSE)</f>
        <v>953</v>
      </c>
      <c r="I35" s="532">
        <f t="shared" ref="I35:I39" si="14">E35-VLOOKUP(A35,$D$5:$H$10,5,FALSE)</f>
        <v>868</v>
      </c>
      <c r="J35" s="320"/>
      <c r="K35" s="656">
        <f t="shared" si="8"/>
        <v>4</v>
      </c>
      <c r="L35" s="537">
        <f>L34+0.1</f>
        <v>0.99999999999999989</v>
      </c>
      <c r="M35" s="532">
        <f t="shared" si="9"/>
        <v>52244</v>
      </c>
      <c r="R35" s="321"/>
      <c r="S35" s="321"/>
      <c r="T35" s="321"/>
      <c r="U35" s="321"/>
      <c r="V35" s="321"/>
      <c r="W35" s="321"/>
      <c r="X35" s="321"/>
      <c r="Y35" s="321"/>
      <c r="Z35" s="321"/>
    </row>
    <row r="36" spans="1:26">
      <c r="A36" s="656" t="s">
        <v>201</v>
      </c>
      <c r="B36" s="538">
        <v>3</v>
      </c>
      <c r="C36" s="539">
        <v>0.9</v>
      </c>
      <c r="D36" s="657">
        <f>IF($A$29=50%,CEILING(MROUND(MROUND($A$5*50%,50)*$A$29/50%,50)*C36,50),CEILING(MROUND($A$5*50%,50)*C36,50)*$A$29/50%)</f>
        <v>47027</v>
      </c>
      <c r="E36" s="532">
        <f t="shared" si="10"/>
        <v>1175</v>
      </c>
      <c r="F36" s="658">
        <f t="shared" si="11"/>
        <v>1065</v>
      </c>
      <c r="G36" s="659">
        <f t="shared" si="12"/>
        <v>1046</v>
      </c>
      <c r="H36" s="532">
        <f t="shared" si="13"/>
        <v>1144</v>
      </c>
      <c r="I36" s="532">
        <f t="shared" si="14"/>
        <v>1034</v>
      </c>
      <c r="J36" s="320"/>
      <c r="K36" s="656">
        <f t="shared" si="8"/>
        <v>5</v>
      </c>
      <c r="L36" s="537">
        <f>L35+0.08</f>
        <v>1.0799999999999998</v>
      </c>
      <c r="M36" s="532">
        <f t="shared" si="9"/>
        <v>56425</v>
      </c>
      <c r="R36" s="321"/>
      <c r="S36" s="321"/>
      <c r="T36" s="321"/>
      <c r="U36" s="321"/>
      <c r="V36" s="321"/>
      <c r="W36" s="321"/>
      <c r="X36" s="321"/>
      <c r="Y36" s="321"/>
      <c r="Z36" s="321"/>
    </row>
    <row r="37" spans="1:26">
      <c r="A37" s="656" t="s">
        <v>204</v>
      </c>
      <c r="B37" s="538">
        <v>4.5</v>
      </c>
      <c r="C37" s="539">
        <v>1.04</v>
      </c>
      <c r="D37" s="657">
        <f>AVERAGE(M35:M36)</f>
        <v>54334.5</v>
      </c>
      <c r="E37" s="532">
        <f t="shared" si="10"/>
        <v>1358</v>
      </c>
      <c r="F37" s="658">
        <f t="shared" si="11"/>
        <v>1222</v>
      </c>
      <c r="G37" s="659">
        <f t="shared" si="12"/>
        <v>1197</v>
      </c>
      <c r="H37" s="532">
        <f t="shared" si="13"/>
        <v>1323</v>
      </c>
      <c r="I37" s="532">
        <f t="shared" si="14"/>
        <v>1187</v>
      </c>
      <c r="J37" s="320"/>
      <c r="K37" s="656">
        <f t="shared" si="8"/>
        <v>6</v>
      </c>
      <c r="L37" s="537">
        <f>L36+0.08</f>
        <v>1.1599999999999999</v>
      </c>
      <c r="M37" s="532">
        <f t="shared" si="9"/>
        <v>60606</v>
      </c>
      <c r="R37" s="321"/>
      <c r="S37" s="321"/>
      <c r="T37" s="321"/>
      <c r="U37" s="321"/>
      <c r="V37" s="321"/>
      <c r="W37" s="321"/>
      <c r="X37" s="321"/>
      <c r="Y37" s="321"/>
      <c r="Z37" s="321"/>
    </row>
    <row r="38" spans="1:26">
      <c r="A38" s="656" t="s">
        <v>507</v>
      </c>
      <c r="B38" s="538">
        <v>6</v>
      </c>
      <c r="C38" s="539">
        <v>1.1599999999999999</v>
      </c>
      <c r="D38" s="657">
        <f>IF($A$29=50%,CEILING(MROUND(MROUND($A$5*50%,50)*$A$29/50%,50)*C38,50),CEILING(MROUND($A$5*50%,50)*C38,50)*$A$29/50%)</f>
        <v>60606</v>
      </c>
      <c r="E38" s="532">
        <f t="shared" si="10"/>
        <v>1515</v>
      </c>
      <c r="F38" s="658">
        <f t="shared" si="11"/>
        <v>1353</v>
      </c>
      <c r="G38" s="659">
        <f t="shared" si="12"/>
        <v>1322</v>
      </c>
      <c r="H38" s="532">
        <f t="shared" si="13"/>
        <v>1476</v>
      </c>
      <c r="I38" s="532">
        <f t="shared" si="14"/>
        <v>1314</v>
      </c>
      <c r="J38" s="320"/>
      <c r="K38" s="656">
        <f>K39-1</f>
        <v>7</v>
      </c>
      <c r="L38" s="537">
        <f>L37+0.08</f>
        <v>1.24</v>
      </c>
      <c r="M38" s="532">
        <f t="shared" si="9"/>
        <v>64787</v>
      </c>
      <c r="R38" s="321"/>
      <c r="S38" s="321"/>
      <c r="T38" s="321"/>
      <c r="U38" s="321"/>
    </row>
    <row r="39" spans="1:26">
      <c r="A39" s="656" t="s">
        <v>508</v>
      </c>
      <c r="B39" s="538">
        <v>7.5</v>
      </c>
      <c r="C39" s="539">
        <f>1.28</f>
        <v>1.28</v>
      </c>
      <c r="D39" s="657">
        <f>AVERAGE(M38:M39)</f>
        <v>66877.5</v>
      </c>
      <c r="E39" s="532">
        <f t="shared" si="10"/>
        <v>1671</v>
      </c>
      <c r="F39" s="658">
        <f t="shared" si="11"/>
        <v>1483</v>
      </c>
      <c r="G39" s="659">
        <f t="shared" si="12"/>
        <v>1446</v>
      </c>
      <c r="H39" s="532">
        <f t="shared" si="13"/>
        <v>1628</v>
      </c>
      <c r="I39" s="532">
        <f t="shared" si="14"/>
        <v>1440</v>
      </c>
      <c r="J39" s="320"/>
      <c r="K39" s="656">
        <v>8</v>
      </c>
      <c r="L39" s="537">
        <f>L38+0.08</f>
        <v>1.32</v>
      </c>
      <c r="M39" s="532">
        <f t="shared" si="9"/>
        <v>68968</v>
      </c>
      <c r="R39" s="321"/>
      <c r="S39" s="321"/>
      <c r="T39" s="321"/>
      <c r="U39" s="321"/>
    </row>
    <row r="40" spans="1:26">
      <c r="D40" s="322"/>
      <c r="Q40" s="321"/>
      <c r="R40" s="321"/>
      <c r="S40" s="321"/>
      <c r="T40" s="321"/>
    </row>
    <row r="41" spans="1:26">
      <c r="D41" s="322"/>
      <c r="Q41" s="321"/>
      <c r="R41" s="321"/>
      <c r="S41" s="321"/>
      <c r="T41" s="321"/>
    </row>
    <row r="42" spans="1:26">
      <c r="A42" s="533">
        <f>'Units &amp; Income'!B77</f>
        <v>0.47</v>
      </c>
      <c r="B42" s="655" t="s">
        <v>514</v>
      </c>
      <c r="C42" s="532">
        <f>IF($A$42=50%,CEILING(MROUND(MROUND($A$5*50%,50)*$A$42/50%,50)*L48,50),CEILING(MROUND($A$5*50%,50)*L48,50)*$A$42/50%)</f>
        <v>66364</v>
      </c>
      <c r="D42" s="304" t="s">
        <v>505</v>
      </c>
      <c r="E42" s="299"/>
      <c r="F42" s="299"/>
      <c r="G42" s="299"/>
      <c r="H42" s="299"/>
      <c r="I42" s="299"/>
      <c r="J42" s="299"/>
      <c r="K42" s="299"/>
      <c r="L42" s="299"/>
      <c r="Q42" s="321"/>
      <c r="R42" s="321"/>
      <c r="S42" s="321"/>
      <c r="T42" s="321"/>
    </row>
    <row r="43" spans="1:26">
      <c r="E43" s="535" t="s">
        <v>515</v>
      </c>
      <c r="F43" s="535" t="s">
        <v>515</v>
      </c>
      <c r="G43" s="535" t="s">
        <v>515</v>
      </c>
      <c r="H43" s="535" t="s">
        <v>515</v>
      </c>
      <c r="I43" s="535" t="s">
        <v>515</v>
      </c>
      <c r="K43" s="305"/>
      <c r="L43" s="306"/>
      <c r="M43" s="307" t="s">
        <v>288</v>
      </c>
      <c r="R43" s="321"/>
      <c r="S43" s="321"/>
      <c r="T43" s="321"/>
      <c r="U43" s="321"/>
    </row>
    <row r="44" spans="1:26" ht="15.75" customHeight="1">
      <c r="A44" s="308"/>
      <c r="B44" s="309"/>
      <c r="C44" s="309"/>
      <c r="D44" s="309"/>
      <c r="E44" s="684" t="s">
        <v>196</v>
      </c>
      <c r="F44" s="687" t="s">
        <v>516</v>
      </c>
      <c r="G44" s="687" t="s">
        <v>502</v>
      </c>
      <c r="H44" s="688" t="s">
        <v>517</v>
      </c>
      <c r="I44" s="691" t="s">
        <v>518</v>
      </c>
      <c r="J44" s="297"/>
      <c r="K44" s="622" t="s">
        <v>519</v>
      </c>
      <c r="L44" s="310" t="s">
        <v>520</v>
      </c>
      <c r="M44" s="536" t="s">
        <v>521</v>
      </c>
    </row>
    <row r="45" spans="1:26">
      <c r="A45" s="623"/>
      <c r="B45" s="311"/>
      <c r="C45" s="311"/>
      <c r="D45" s="312" t="s">
        <v>288</v>
      </c>
      <c r="E45" s="685"/>
      <c r="F45" s="687"/>
      <c r="G45" s="687"/>
      <c r="H45" s="689"/>
      <c r="I45" s="692"/>
      <c r="J45" s="313"/>
      <c r="K45" s="656">
        <f t="shared" ref="K45:K50" si="15">K46-1</f>
        <v>1</v>
      </c>
      <c r="L45" s="537">
        <v>0.7</v>
      </c>
      <c r="M45" s="532">
        <f t="shared" ref="M45:M52" si="16">IF($A$42=50%,CEILING(MROUND(MROUND($A$5*50%,50)*$A$42/50%,50)*L45,50),CEILING(MROUND($A$5*50%,50)*L45,50)*$A$42/50%)</f>
        <v>46483</v>
      </c>
      <c r="O45" s="323"/>
      <c r="P45" s="323"/>
    </row>
    <row r="46" spans="1:26" ht="28.5" customHeight="1">
      <c r="A46" s="315"/>
      <c r="B46" s="316" t="s">
        <v>211</v>
      </c>
      <c r="C46" s="317" t="s">
        <v>212</v>
      </c>
      <c r="D46" s="318" t="s">
        <v>521</v>
      </c>
      <c r="E46" s="686"/>
      <c r="F46" s="687"/>
      <c r="G46" s="687"/>
      <c r="H46" s="690"/>
      <c r="I46" s="693"/>
      <c r="J46" s="319"/>
      <c r="K46" s="656">
        <f t="shared" si="15"/>
        <v>2</v>
      </c>
      <c r="L46" s="537">
        <f>L45+0.1</f>
        <v>0.79999999999999993</v>
      </c>
      <c r="M46" s="532">
        <f t="shared" si="16"/>
        <v>53110</v>
      </c>
    </row>
    <row r="47" spans="1:26">
      <c r="A47" s="656" t="s">
        <v>195</v>
      </c>
      <c r="B47" s="538">
        <v>1</v>
      </c>
      <c r="C47" s="539">
        <f>IF(AND(A42&lt;=60%,$A$14="New Construction/Special Needs"),0.6,(IF(AND(A42&lt;&gt;60%,$A$14="Preservation/Rehab"),0.7,(IF(AND(A42=60%,$A$14="Preservation/Rehab"),0.7,0.6)))))</f>
        <v>0.6</v>
      </c>
      <c r="D47" s="657">
        <f>IF($A$42=50%,CEILING(MROUND(MROUND($A$5*50%,50)*$A$42/50%,50)*C47,50),CEILING(MROUND($A$5*50%,50)*C47,50)*$A$42/50%)</f>
        <v>39856</v>
      </c>
      <c r="E47" s="532">
        <f t="shared" ref="E47:E52" si="17">ROUNDDOWN(D47*$A$7/12,0)</f>
        <v>996</v>
      </c>
      <c r="F47" s="658">
        <f>E47-VLOOKUP(A47,$D$5:$H$10,3,FALSE)</f>
        <v>921</v>
      </c>
      <c r="G47" s="659">
        <f>E47-VLOOKUP(A47,$D$5:$G$10,2,FALSE)</f>
        <v>910</v>
      </c>
      <c r="H47" s="532">
        <f>E47-VLOOKUP(A47,$D$5:$H$10,4,FALSE)</f>
        <v>972</v>
      </c>
      <c r="I47" s="532">
        <f>E47-VLOOKUP(A47,$D$5:$H$10,5,FALSE)</f>
        <v>897</v>
      </c>
      <c r="J47" s="320"/>
      <c r="K47" s="656">
        <f t="shared" si="15"/>
        <v>3</v>
      </c>
      <c r="L47" s="537">
        <f>L46+0.1</f>
        <v>0.89999999999999991</v>
      </c>
      <c r="M47" s="532">
        <f t="shared" si="16"/>
        <v>59737</v>
      </c>
    </row>
    <row r="48" spans="1:26">
      <c r="A48" s="656" t="s">
        <v>199</v>
      </c>
      <c r="B48" s="538">
        <v>1.5</v>
      </c>
      <c r="C48" s="539">
        <v>0.75</v>
      </c>
      <c r="D48" s="657">
        <f>AVERAGE(M45:M46)</f>
        <v>49796.5</v>
      </c>
      <c r="E48" s="532">
        <f t="shared" si="17"/>
        <v>1244</v>
      </c>
      <c r="F48" s="658">
        <f t="shared" ref="F48:F52" si="18">E48-VLOOKUP(A48,$D$5:$H$10,3,FALSE)</f>
        <v>1159</v>
      </c>
      <c r="G48" s="659">
        <f t="shared" ref="G48:G52" si="19">E48-VLOOKUP(A48,$D$5:$G$10,2,FALSE)</f>
        <v>1146</v>
      </c>
      <c r="H48" s="532">
        <f t="shared" ref="H48:H52" si="20">E48-VLOOKUP(A48,$D$5:$H$10,4,FALSE)</f>
        <v>1217</v>
      </c>
      <c r="I48" s="532">
        <f t="shared" ref="I48:I52" si="21">E48-VLOOKUP(A48,$D$5:$H$10,5,FALSE)</f>
        <v>1132</v>
      </c>
      <c r="J48" s="320"/>
      <c r="K48" s="656">
        <f t="shared" si="15"/>
        <v>4</v>
      </c>
      <c r="L48" s="537">
        <f>L47+0.1</f>
        <v>0.99999999999999989</v>
      </c>
      <c r="M48" s="532">
        <f t="shared" si="16"/>
        <v>66364</v>
      </c>
    </row>
    <row r="49" spans="1:13">
      <c r="A49" s="656" t="s">
        <v>201</v>
      </c>
      <c r="B49" s="538">
        <v>3</v>
      </c>
      <c r="C49" s="539">
        <v>0.9</v>
      </c>
      <c r="D49" s="657">
        <f>IF($A$42=50%,CEILING(MROUND(MROUND($A$5*50%,50)*$A$42/50%,50)*C49,50),CEILING(MROUND($A$5*50%,50)*C49,50)*$A$42/50%)</f>
        <v>59737</v>
      </c>
      <c r="E49" s="532">
        <f t="shared" si="17"/>
        <v>1493</v>
      </c>
      <c r="F49" s="658">
        <f t="shared" si="18"/>
        <v>1383</v>
      </c>
      <c r="G49" s="659">
        <f t="shared" si="19"/>
        <v>1364</v>
      </c>
      <c r="H49" s="532">
        <f t="shared" si="20"/>
        <v>1462</v>
      </c>
      <c r="I49" s="532">
        <f t="shared" si="21"/>
        <v>1352</v>
      </c>
      <c r="J49" s="320"/>
      <c r="K49" s="656">
        <f t="shared" si="15"/>
        <v>5</v>
      </c>
      <c r="L49" s="537">
        <f>L48+0.08</f>
        <v>1.0799999999999998</v>
      </c>
      <c r="M49" s="532">
        <f t="shared" si="16"/>
        <v>71675</v>
      </c>
    </row>
    <row r="50" spans="1:13">
      <c r="A50" s="656" t="s">
        <v>204</v>
      </c>
      <c r="B50" s="538">
        <v>4.5</v>
      </c>
      <c r="C50" s="539">
        <v>1.04</v>
      </c>
      <c r="D50" s="657">
        <f>AVERAGE(M48:M49)</f>
        <v>69019.5</v>
      </c>
      <c r="E50" s="532">
        <f t="shared" si="17"/>
        <v>1725</v>
      </c>
      <c r="F50" s="658">
        <f t="shared" si="18"/>
        <v>1589</v>
      </c>
      <c r="G50" s="659">
        <f t="shared" si="19"/>
        <v>1564</v>
      </c>
      <c r="H50" s="532">
        <f t="shared" si="20"/>
        <v>1690</v>
      </c>
      <c r="I50" s="532">
        <f t="shared" si="21"/>
        <v>1554</v>
      </c>
      <c r="J50" s="320"/>
      <c r="K50" s="656">
        <f t="shared" si="15"/>
        <v>6</v>
      </c>
      <c r="L50" s="537">
        <f>L49+0.08</f>
        <v>1.1599999999999999</v>
      </c>
      <c r="M50" s="532">
        <f t="shared" si="16"/>
        <v>76986</v>
      </c>
    </row>
    <row r="51" spans="1:13">
      <c r="A51" s="656" t="s">
        <v>507</v>
      </c>
      <c r="B51" s="538">
        <v>6</v>
      </c>
      <c r="C51" s="539">
        <v>1.1599999999999999</v>
      </c>
      <c r="D51" s="657">
        <f>IF($A$42=50%,CEILING(MROUND(MROUND($A$5*50%,50)*$A$42/50%,50)*C51,50),CEILING(MROUND($A$5*50%,50)*C51,50)*$A$42/50%)</f>
        <v>76986</v>
      </c>
      <c r="E51" s="532">
        <f t="shared" si="17"/>
        <v>1924</v>
      </c>
      <c r="F51" s="658">
        <f t="shared" si="18"/>
        <v>1762</v>
      </c>
      <c r="G51" s="659">
        <f t="shared" si="19"/>
        <v>1731</v>
      </c>
      <c r="H51" s="532">
        <f t="shared" si="20"/>
        <v>1885</v>
      </c>
      <c r="I51" s="532">
        <f t="shared" si="21"/>
        <v>1723</v>
      </c>
      <c r="J51" s="320"/>
      <c r="K51" s="656">
        <f>K52-1</f>
        <v>7</v>
      </c>
      <c r="L51" s="537">
        <f>L50+0.08</f>
        <v>1.24</v>
      </c>
      <c r="M51" s="532">
        <f t="shared" si="16"/>
        <v>82297</v>
      </c>
    </row>
    <row r="52" spans="1:13">
      <c r="A52" s="656" t="s">
        <v>508</v>
      </c>
      <c r="B52" s="538">
        <v>7.5</v>
      </c>
      <c r="C52" s="539">
        <f>1.28</f>
        <v>1.28</v>
      </c>
      <c r="D52" s="657">
        <f>AVERAGE(M51:M52)</f>
        <v>84952.5</v>
      </c>
      <c r="E52" s="532">
        <f t="shared" si="17"/>
        <v>2123</v>
      </c>
      <c r="F52" s="658">
        <f t="shared" si="18"/>
        <v>1935</v>
      </c>
      <c r="G52" s="659">
        <f t="shared" si="19"/>
        <v>1898</v>
      </c>
      <c r="H52" s="532">
        <f t="shared" si="20"/>
        <v>2080</v>
      </c>
      <c r="I52" s="532">
        <f t="shared" si="21"/>
        <v>1892</v>
      </c>
      <c r="J52" s="320"/>
      <c r="K52" s="656">
        <v>8</v>
      </c>
      <c r="L52" s="537">
        <f>L51+0.08</f>
        <v>1.32</v>
      </c>
      <c r="M52" s="532">
        <f t="shared" si="16"/>
        <v>87608</v>
      </c>
    </row>
    <row r="55" spans="1:13">
      <c r="A55" s="533">
        <f>'Units &amp; Income'!B85</f>
        <v>0.56999999999999995</v>
      </c>
      <c r="B55" s="655" t="s">
        <v>514</v>
      </c>
      <c r="C55" s="532">
        <f>IF($A$55=50%,CEILING(MROUND(MROUND($A$5*50%,50)*$A$55/50%,50)*L61,50),CEILING(MROUND($A$5*50%,50)*L61,50)*$A$55/50%)</f>
        <v>80484</v>
      </c>
      <c r="D55" s="304" t="s">
        <v>505</v>
      </c>
      <c r="E55" s="299"/>
      <c r="F55" s="299"/>
      <c r="G55" s="299"/>
      <c r="H55" s="299"/>
      <c r="I55" s="299"/>
      <c r="J55" s="299"/>
      <c r="K55" s="299"/>
      <c r="L55" s="299"/>
    </row>
    <row r="56" spans="1:13">
      <c r="B56" s="324"/>
      <c r="E56" s="535" t="s">
        <v>515</v>
      </c>
      <c r="F56" s="535" t="s">
        <v>515</v>
      </c>
      <c r="G56" s="535" t="s">
        <v>515</v>
      </c>
      <c r="H56" s="535" t="s">
        <v>515</v>
      </c>
      <c r="I56" s="535" t="s">
        <v>515</v>
      </c>
      <c r="K56" s="305"/>
      <c r="L56" s="306"/>
      <c r="M56" s="307" t="s">
        <v>288</v>
      </c>
    </row>
    <row r="57" spans="1:13" ht="15.75" customHeight="1">
      <c r="A57" s="308"/>
      <c r="B57" s="309"/>
      <c r="C57" s="309"/>
      <c r="D57" s="309"/>
      <c r="E57" s="684" t="s">
        <v>196</v>
      </c>
      <c r="F57" s="687" t="s">
        <v>516</v>
      </c>
      <c r="G57" s="687" t="s">
        <v>502</v>
      </c>
      <c r="H57" s="688" t="s">
        <v>517</v>
      </c>
      <c r="I57" s="691" t="s">
        <v>518</v>
      </c>
      <c r="J57" s="297"/>
      <c r="K57" s="622" t="s">
        <v>519</v>
      </c>
      <c r="L57" s="310" t="s">
        <v>520</v>
      </c>
      <c r="M57" s="536" t="s">
        <v>521</v>
      </c>
    </row>
    <row r="58" spans="1:13">
      <c r="A58" s="623"/>
      <c r="B58" s="311"/>
      <c r="C58" s="311"/>
      <c r="D58" s="312" t="s">
        <v>288</v>
      </c>
      <c r="E58" s="685"/>
      <c r="F58" s="687"/>
      <c r="G58" s="687"/>
      <c r="H58" s="689"/>
      <c r="I58" s="692"/>
      <c r="J58" s="313"/>
      <c r="K58" s="656">
        <f t="shared" ref="K58:K63" si="22">K59-1</f>
        <v>1</v>
      </c>
      <c r="L58" s="537">
        <v>0.7</v>
      </c>
      <c r="M58" s="532">
        <f t="shared" ref="M58:M65" si="23">IF($A$55=50%,CEILING(MROUND(MROUND($A$5*50%,50)*$A$55/50%,50)*L58,50),CEILING(MROUND($A$5*50%,50)*L58,50)*$A$55/50%)</f>
        <v>56372.999999999993</v>
      </c>
    </row>
    <row r="59" spans="1:13" ht="32.5" customHeight="1">
      <c r="A59" s="315"/>
      <c r="B59" s="316" t="s">
        <v>211</v>
      </c>
      <c r="C59" s="317" t="s">
        <v>212</v>
      </c>
      <c r="D59" s="318" t="s">
        <v>521</v>
      </c>
      <c r="E59" s="686"/>
      <c r="F59" s="687"/>
      <c r="G59" s="687"/>
      <c r="H59" s="690"/>
      <c r="I59" s="693"/>
      <c r="J59" s="319"/>
      <c r="K59" s="656">
        <f t="shared" si="22"/>
        <v>2</v>
      </c>
      <c r="L59" s="537">
        <f>L58+0.1</f>
        <v>0.79999999999999993</v>
      </c>
      <c r="M59" s="532">
        <f t="shared" si="23"/>
        <v>64409.999999999993</v>
      </c>
    </row>
    <row r="60" spans="1:13">
      <c r="A60" s="656" t="s">
        <v>195</v>
      </c>
      <c r="B60" s="538">
        <v>1</v>
      </c>
      <c r="C60" s="539">
        <f>IF(AND(A55&lt;=60%,$A$14="New Construction/Special Needs"),0.6,(IF(AND(A55&lt;&gt;60%,$A$14="Preservation/Rehab"),0.7,(IF(AND(A55=60%,$A$14="Preservation/Rehab"),0.7,0.6)))))</f>
        <v>0.6</v>
      </c>
      <c r="D60" s="657">
        <f>IF($A$55=50%,CEILING(MROUND(MROUND($A$5*50%,50)*$A$55/50%,50)*C60,50),CEILING(MROUND($A$5*50%,50)*C60,50)*$A$55/50%)</f>
        <v>48335.999999999993</v>
      </c>
      <c r="E60" s="532">
        <f t="shared" ref="E60:E65" si="24">ROUNDDOWN(D60*$A$7/12,0)</f>
        <v>1208</v>
      </c>
      <c r="F60" s="658">
        <f>E60-VLOOKUP(A60,$D$5:$H$10,3,FALSE)</f>
        <v>1133</v>
      </c>
      <c r="G60" s="659">
        <f>E60-VLOOKUP(A60,$D$5:$G$10,2,FALSE)</f>
        <v>1122</v>
      </c>
      <c r="H60" s="532">
        <f>E60-VLOOKUP(A60,$D$5:$H$10,4,FALSE)</f>
        <v>1184</v>
      </c>
      <c r="I60" s="532">
        <f>E60-VLOOKUP(A60,$D$5:$H$10,5,FALSE)</f>
        <v>1109</v>
      </c>
      <c r="J60" s="320"/>
      <c r="K60" s="656">
        <f t="shared" si="22"/>
        <v>3</v>
      </c>
      <c r="L60" s="537">
        <f>L59+0.1</f>
        <v>0.89999999999999991</v>
      </c>
      <c r="M60" s="532">
        <f t="shared" si="23"/>
        <v>72447</v>
      </c>
    </row>
    <row r="61" spans="1:13">
      <c r="A61" s="656" t="s">
        <v>199</v>
      </c>
      <c r="B61" s="538">
        <v>1.5</v>
      </c>
      <c r="C61" s="539">
        <v>0.75</v>
      </c>
      <c r="D61" s="657">
        <f>AVERAGE(M58:M59)</f>
        <v>60391.499999999993</v>
      </c>
      <c r="E61" s="532">
        <f t="shared" si="24"/>
        <v>1509</v>
      </c>
      <c r="F61" s="658">
        <f t="shared" ref="F61:F65" si="25">E61-VLOOKUP(A61,$D$5:$H$10,3,FALSE)</f>
        <v>1424</v>
      </c>
      <c r="G61" s="659">
        <f t="shared" ref="G61:G65" si="26">E61-VLOOKUP(A61,$D$5:$G$10,2,FALSE)</f>
        <v>1411</v>
      </c>
      <c r="H61" s="532">
        <f t="shared" ref="H61:H65" si="27">E61-VLOOKUP(A61,$D$5:$H$10,4,FALSE)</f>
        <v>1482</v>
      </c>
      <c r="I61" s="532">
        <f t="shared" ref="I61:I65" si="28">E61-VLOOKUP(A61,$D$5:$H$10,5,FALSE)</f>
        <v>1397</v>
      </c>
      <c r="J61" s="320"/>
      <c r="K61" s="656">
        <f t="shared" si="22"/>
        <v>4</v>
      </c>
      <c r="L61" s="537">
        <f>L60+0.1</f>
        <v>0.99999999999999989</v>
      </c>
      <c r="M61" s="532">
        <f t="shared" si="23"/>
        <v>80484</v>
      </c>
    </row>
    <row r="62" spans="1:13">
      <c r="A62" s="656" t="s">
        <v>201</v>
      </c>
      <c r="B62" s="538">
        <v>3</v>
      </c>
      <c r="C62" s="539">
        <v>0.9</v>
      </c>
      <c r="D62" s="657">
        <f>IF($A$55=50%,CEILING(MROUND(MROUND($A$5*50%,50)*$A$55/50%,50)*C62,50),CEILING(MROUND($A$5*50%,50)*C62,50)*$A$55/50%)</f>
        <v>72447</v>
      </c>
      <c r="E62" s="532">
        <f t="shared" si="24"/>
        <v>1811</v>
      </c>
      <c r="F62" s="658">
        <f t="shared" si="25"/>
        <v>1701</v>
      </c>
      <c r="G62" s="659">
        <f t="shared" si="26"/>
        <v>1682</v>
      </c>
      <c r="H62" s="532">
        <f t="shared" si="27"/>
        <v>1780</v>
      </c>
      <c r="I62" s="532">
        <f t="shared" si="28"/>
        <v>1670</v>
      </c>
      <c r="J62" s="320"/>
      <c r="K62" s="656">
        <f t="shared" si="22"/>
        <v>5</v>
      </c>
      <c r="L62" s="537">
        <f>L61+0.08</f>
        <v>1.0799999999999998</v>
      </c>
      <c r="M62" s="532">
        <f t="shared" si="23"/>
        <v>86924.999999999985</v>
      </c>
    </row>
    <row r="63" spans="1:13">
      <c r="A63" s="656" t="s">
        <v>204</v>
      </c>
      <c r="B63" s="538">
        <v>4.5</v>
      </c>
      <c r="C63" s="539">
        <v>1.04</v>
      </c>
      <c r="D63" s="657">
        <f>AVERAGE(M61:M62)</f>
        <v>83704.5</v>
      </c>
      <c r="E63" s="532">
        <f t="shared" si="24"/>
        <v>2092</v>
      </c>
      <c r="F63" s="658">
        <f t="shared" si="25"/>
        <v>1956</v>
      </c>
      <c r="G63" s="659">
        <f t="shared" si="26"/>
        <v>1931</v>
      </c>
      <c r="H63" s="532">
        <f t="shared" si="27"/>
        <v>2057</v>
      </c>
      <c r="I63" s="532">
        <f t="shared" si="28"/>
        <v>1921</v>
      </c>
      <c r="J63" s="320"/>
      <c r="K63" s="656">
        <f t="shared" si="22"/>
        <v>6</v>
      </c>
      <c r="L63" s="537">
        <f>L62+0.08</f>
        <v>1.1599999999999999</v>
      </c>
      <c r="M63" s="532">
        <f t="shared" si="23"/>
        <v>93365.999999999985</v>
      </c>
    </row>
    <row r="64" spans="1:13">
      <c r="A64" s="656" t="s">
        <v>507</v>
      </c>
      <c r="B64" s="538">
        <v>6</v>
      </c>
      <c r="C64" s="539">
        <v>1.1599999999999999</v>
      </c>
      <c r="D64" s="657">
        <f>IF($A$55=50%,CEILING(MROUND(MROUND($A$5*50%,50)*$A$55/50%,50)*C64,50),CEILING(MROUND($A$5*50%,50)*C64,50)*$A$55/50%)</f>
        <v>93365.999999999985</v>
      </c>
      <c r="E64" s="532">
        <f t="shared" si="24"/>
        <v>2334</v>
      </c>
      <c r="F64" s="658">
        <f t="shared" si="25"/>
        <v>2172</v>
      </c>
      <c r="G64" s="659">
        <f t="shared" si="26"/>
        <v>2141</v>
      </c>
      <c r="H64" s="532">
        <f t="shared" si="27"/>
        <v>2295</v>
      </c>
      <c r="I64" s="532">
        <f t="shared" si="28"/>
        <v>2133</v>
      </c>
      <c r="J64" s="320"/>
      <c r="K64" s="656">
        <f>K65-1</f>
        <v>7</v>
      </c>
      <c r="L64" s="537">
        <f>L63+0.08</f>
        <v>1.24</v>
      </c>
      <c r="M64" s="532">
        <f t="shared" si="23"/>
        <v>99806.999999999985</v>
      </c>
    </row>
    <row r="65" spans="1:13">
      <c r="A65" s="656" t="s">
        <v>508</v>
      </c>
      <c r="B65" s="538">
        <v>7.5</v>
      </c>
      <c r="C65" s="539">
        <f>1.28</f>
        <v>1.28</v>
      </c>
      <c r="D65" s="657">
        <f>AVERAGE(M64:M65)</f>
        <v>103027.49999999999</v>
      </c>
      <c r="E65" s="532">
        <f t="shared" si="24"/>
        <v>2575</v>
      </c>
      <c r="F65" s="658">
        <f t="shared" si="25"/>
        <v>2387</v>
      </c>
      <c r="G65" s="659">
        <f t="shared" si="26"/>
        <v>2350</v>
      </c>
      <c r="H65" s="532">
        <f t="shared" si="27"/>
        <v>2532</v>
      </c>
      <c r="I65" s="532">
        <f t="shared" si="28"/>
        <v>2344</v>
      </c>
      <c r="J65" s="320"/>
      <c r="K65" s="656">
        <v>8</v>
      </c>
      <c r="L65" s="537">
        <f>L64+0.08</f>
        <v>1.32</v>
      </c>
      <c r="M65" s="532">
        <f t="shared" si="23"/>
        <v>106247.99999999999</v>
      </c>
    </row>
    <row r="68" spans="1:13">
      <c r="A68" s="533">
        <f>'Units &amp; Income'!B93</f>
        <v>0.8</v>
      </c>
      <c r="B68" s="655" t="s">
        <v>514</v>
      </c>
      <c r="C68" s="532">
        <f>IF($A$68=50%,CEILING(MROUND(MROUND($A$5*50%,50)*$A$68/50%,50)*L74,50),CEILING(MROUND($A$5*50%,50)*L74,50)*$A$68/50%)</f>
        <v>112960</v>
      </c>
      <c r="D68" s="304" t="s">
        <v>505</v>
      </c>
      <c r="E68" s="299"/>
      <c r="F68" s="299"/>
      <c r="G68" s="299"/>
      <c r="H68" s="299"/>
      <c r="I68" s="299"/>
      <c r="J68" s="299"/>
      <c r="K68" s="299"/>
      <c r="L68" s="299"/>
    </row>
    <row r="69" spans="1:13">
      <c r="E69" s="535" t="s">
        <v>515</v>
      </c>
      <c r="F69" s="535" t="s">
        <v>515</v>
      </c>
      <c r="G69" s="535" t="s">
        <v>515</v>
      </c>
      <c r="H69" s="535" t="s">
        <v>515</v>
      </c>
      <c r="I69" s="535" t="s">
        <v>515</v>
      </c>
      <c r="K69" s="305"/>
      <c r="L69" s="306"/>
      <c r="M69" s="307" t="s">
        <v>288</v>
      </c>
    </row>
    <row r="70" spans="1:13" ht="15.75" customHeight="1">
      <c r="A70" s="308"/>
      <c r="B70" s="309"/>
      <c r="C70" s="309"/>
      <c r="D70" s="309"/>
      <c r="E70" s="684" t="s">
        <v>196</v>
      </c>
      <c r="F70" s="687" t="s">
        <v>516</v>
      </c>
      <c r="G70" s="687" t="s">
        <v>502</v>
      </c>
      <c r="H70" s="688" t="s">
        <v>517</v>
      </c>
      <c r="I70" s="691" t="s">
        <v>518</v>
      </c>
      <c r="J70" s="297"/>
      <c r="K70" s="622" t="s">
        <v>519</v>
      </c>
      <c r="L70" s="310" t="s">
        <v>520</v>
      </c>
      <c r="M70" s="536" t="s">
        <v>521</v>
      </c>
    </row>
    <row r="71" spans="1:13">
      <c r="A71" s="623"/>
      <c r="B71" s="311"/>
      <c r="C71" s="311"/>
      <c r="D71" s="312" t="s">
        <v>288</v>
      </c>
      <c r="E71" s="685"/>
      <c r="F71" s="687"/>
      <c r="G71" s="687"/>
      <c r="H71" s="689"/>
      <c r="I71" s="692"/>
      <c r="J71" s="313"/>
      <c r="K71" s="656">
        <f t="shared" ref="K71:K76" si="29">K72-1</f>
        <v>1</v>
      </c>
      <c r="L71" s="537">
        <v>0.7</v>
      </c>
      <c r="M71" s="532">
        <f t="shared" ref="M71:M78" si="30">IF($A$68=50%,CEILING(MROUND(MROUND($A$5*50%,50)*$A$68/50%,50)*L71,50),CEILING(MROUND($A$5*50%,50)*L71,50)*$A$68/50%)</f>
        <v>79120</v>
      </c>
    </row>
    <row r="72" spans="1:13" ht="28.5" customHeight="1">
      <c r="A72" s="315"/>
      <c r="B72" s="316" t="s">
        <v>211</v>
      </c>
      <c r="C72" s="317" t="s">
        <v>212</v>
      </c>
      <c r="D72" s="318" t="s">
        <v>521</v>
      </c>
      <c r="E72" s="686"/>
      <c r="F72" s="687"/>
      <c r="G72" s="687"/>
      <c r="H72" s="690"/>
      <c r="I72" s="693"/>
      <c r="J72" s="319"/>
      <c r="K72" s="656">
        <f t="shared" si="29"/>
        <v>2</v>
      </c>
      <c r="L72" s="537">
        <f>L71+0.1</f>
        <v>0.79999999999999993</v>
      </c>
      <c r="M72" s="532">
        <f t="shared" si="30"/>
        <v>90400</v>
      </c>
    </row>
    <row r="73" spans="1:13">
      <c r="A73" s="656" t="s">
        <v>195</v>
      </c>
      <c r="B73" s="538">
        <v>1</v>
      </c>
      <c r="C73" s="539">
        <f>IF(AND(A68&lt;=60%,$A$14="New Construction/Special Needs"),0.6,(IF(AND(A68&lt;&gt;60%,$A$14="Preservation/Rehab"),0.7,(IF(AND(A68=60%,$A$14="Preservation/Rehab"),0.7,0.6)))))</f>
        <v>0.6</v>
      </c>
      <c r="D73" s="657">
        <f>IF($A$68=50%,CEILING(MROUND(MROUND($A$5*50%,50)*$A$68/50%,50)*C73,50),CEILING(MROUND($A$5*50%,50)*C73,50)*$A$68/50%)</f>
        <v>67840</v>
      </c>
      <c r="E73" s="532">
        <f t="shared" ref="E73:E78" si="31">ROUNDDOWN(D73*$A$7/12,0)</f>
        <v>1696</v>
      </c>
      <c r="F73" s="658">
        <f>E73-VLOOKUP(A73,$D$5:$H$10,3,FALSE)</f>
        <v>1621</v>
      </c>
      <c r="G73" s="659">
        <f>E73-VLOOKUP(A73,$D$5:$G$10,2,FALSE)</f>
        <v>1610</v>
      </c>
      <c r="H73" s="532">
        <f>E73-VLOOKUP(A73,$D$5:$H$10,4,FALSE)</f>
        <v>1672</v>
      </c>
      <c r="I73" s="532">
        <f>E73-VLOOKUP(A73,$D$5:$H$10,5,FALSE)</f>
        <v>1597</v>
      </c>
      <c r="J73" s="320"/>
      <c r="K73" s="656">
        <f t="shared" si="29"/>
        <v>3</v>
      </c>
      <c r="L73" s="537">
        <f>L72+0.1</f>
        <v>0.89999999999999991</v>
      </c>
      <c r="M73" s="532">
        <f t="shared" si="30"/>
        <v>101680</v>
      </c>
    </row>
    <row r="74" spans="1:13">
      <c r="A74" s="656" t="s">
        <v>199</v>
      </c>
      <c r="B74" s="538">
        <v>1.5</v>
      </c>
      <c r="C74" s="539">
        <v>0.75</v>
      </c>
      <c r="D74" s="657">
        <f>AVERAGE(M71:M72)</f>
        <v>84760</v>
      </c>
      <c r="E74" s="532">
        <f t="shared" si="31"/>
        <v>2119</v>
      </c>
      <c r="F74" s="658">
        <f t="shared" ref="F74:F78" si="32">E74-VLOOKUP(A74,$D$5:$H$10,3,FALSE)</f>
        <v>2034</v>
      </c>
      <c r="G74" s="659">
        <f t="shared" ref="G74:G78" si="33">E74-VLOOKUP(A74,$D$5:$G$10,2,FALSE)</f>
        <v>2021</v>
      </c>
      <c r="H74" s="532">
        <f t="shared" ref="H74:H78" si="34">E74-VLOOKUP(A74,$D$5:$H$10,4,FALSE)</f>
        <v>2092</v>
      </c>
      <c r="I74" s="532">
        <f t="shared" ref="I74:I78" si="35">E74-VLOOKUP(A74,$D$5:$H$10,5,FALSE)</f>
        <v>2007</v>
      </c>
      <c r="J74" s="320"/>
      <c r="K74" s="656">
        <f t="shared" si="29"/>
        <v>4</v>
      </c>
      <c r="L74" s="537">
        <f>L73+0.1</f>
        <v>0.99999999999999989</v>
      </c>
      <c r="M74" s="532">
        <f t="shared" si="30"/>
        <v>112960</v>
      </c>
    </row>
    <row r="75" spans="1:13">
      <c r="A75" s="656" t="s">
        <v>201</v>
      </c>
      <c r="B75" s="538">
        <v>3</v>
      </c>
      <c r="C75" s="539">
        <v>0.9</v>
      </c>
      <c r="D75" s="657">
        <f>IF($A$68=50%,CEILING(MROUND(MROUND($A$5*50%,50)*$A$68/50%,50)*C75,50),CEILING(MROUND($A$5*50%,50)*C75,50)*$A$68/50%)</f>
        <v>101680</v>
      </c>
      <c r="E75" s="532">
        <f t="shared" si="31"/>
        <v>2542</v>
      </c>
      <c r="F75" s="658">
        <f t="shared" si="32"/>
        <v>2432</v>
      </c>
      <c r="G75" s="659">
        <f t="shared" si="33"/>
        <v>2413</v>
      </c>
      <c r="H75" s="532">
        <f t="shared" si="34"/>
        <v>2511</v>
      </c>
      <c r="I75" s="532">
        <f t="shared" si="35"/>
        <v>2401</v>
      </c>
      <c r="J75" s="320"/>
      <c r="K75" s="656">
        <f t="shared" si="29"/>
        <v>5</v>
      </c>
      <c r="L75" s="537">
        <f>L74+0.08</f>
        <v>1.0799999999999998</v>
      </c>
      <c r="M75" s="532">
        <f t="shared" si="30"/>
        <v>122000</v>
      </c>
    </row>
    <row r="76" spans="1:13">
      <c r="A76" s="656" t="s">
        <v>204</v>
      </c>
      <c r="B76" s="538">
        <v>4.5</v>
      </c>
      <c r="C76" s="539">
        <v>1.04</v>
      </c>
      <c r="D76" s="657">
        <f>AVERAGE(M74:M75)</f>
        <v>117480</v>
      </c>
      <c r="E76" s="532">
        <f t="shared" si="31"/>
        <v>2937</v>
      </c>
      <c r="F76" s="658">
        <f t="shared" si="32"/>
        <v>2801</v>
      </c>
      <c r="G76" s="659">
        <f t="shared" si="33"/>
        <v>2776</v>
      </c>
      <c r="H76" s="532">
        <f t="shared" si="34"/>
        <v>2902</v>
      </c>
      <c r="I76" s="532">
        <f t="shared" si="35"/>
        <v>2766</v>
      </c>
      <c r="J76" s="320"/>
      <c r="K76" s="656">
        <f t="shared" si="29"/>
        <v>6</v>
      </c>
      <c r="L76" s="537">
        <f>L75+0.08</f>
        <v>1.1599999999999999</v>
      </c>
      <c r="M76" s="532">
        <f t="shared" si="30"/>
        <v>131040</v>
      </c>
    </row>
    <row r="77" spans="1:13">
      <c r="A77" s="656" t="s">
        <v>507</v>
      </c>
      <c r="B77" s="538">
        <v>6</v>
      </c>
      <c r="C77" s="539">
        <v>1.1599999999999999</v>
      </c>
      <c r="D77" s="657">
        <f>IF($A$68=50%,CEILING(MROUND(MROUND($A$5*50%,50)*$A$68/50%,50)*C77,50),CEILING(MROUND($A$5*50%,50)*C77,50)*$A$68/50%)</f>
        <v>131040</v>
      </c>
      <c r="E77" s="532">
        <f t="shared" si="31"/>
        <v>3276</v>
      </c>
      <c r="F77" s="658">
        <f t="shared" si="32"/>
        <v>3114</v>
      </c>
      <c r="G77" s="659">
        <f t="shared" si="33"/>
        <v>3083</v>
      </c>
      <c r="H77" s="532">
        <f t="shared" si="34"/>
        <v>3237</v>
      </c>
      <c r="I77" s="532">
        <f t="shared" si="35"/>
        <v>3075</v>
      </c>
      <c r="J77" s="320"/>
      <c r="K77" s="656">
        <f>K78-1</f>
        <v>7</v>
      </c>
      <c r="L77" s="537">
        <f>L76+0.08</f>
        <v>1.24</v>
      </c>
      <c r="M77" s="532">
        <f t="shared" si="30"/>
        <v>140080</v>
      </c>
    </row>
    <row r="78" spans="1:13">
      <c r="A78" s="656" t="s">
        <v>508</v>
      </c>
      <c r="B78" s="538">
        <v>7.5</v>
      </c>
      <c r="C78" s="539">
        <f>1.28</f>
        <v>1.28</v>
      </c>
      <c r="D78" s="657">
        <f>AVERAGE(M77:M78)</f>
        <v>144600</v>
      </c>
      <c r="E78" s="532">
        <f t="shared" si="31"/>
        <v>3615</v>
      </c>
      <c r="F78" s="658">
        <f t="shared" si="32"/>
        <v>3427</v>
      </c>
      <c r="G78" s="659">
        <f t="shared" si="33"/>
        <v>3390</v>
      </c>
      <c r="H78" s="532">
        <f t="shared" si="34"/>
        <v>3572</v>
      </c>
      <c r="I78" s="532">
        <f t="shared" si="35"/>
        <v>3384</v>
      </c>
      <c r="J78" s="320"/>
      <c r="K78" s="656">
        <v>8</v>
      </c>
      <c r="L78" s="537">
        <f>L77+0.08</f>
        <v>1.32</v>
      </c>
      <c r="M78" s="532">
        <f t="shared" si="30"/>
        <v>149120</v>
      </c>
    </row>
    <row r="80" spans="1:13">
      <c r="A80" s="533">
        <f>'Units &amp; Income'!B101</f>
        <v>1</v>
      </c>
      <c r="B80" s="655" t="s">
        <v>514</v>
      </c>
      <c r="C80" s="532">
        <f>IF($A$80=50%,CEILING(MROUND(MROUND($A$5*50%,50)*$A$80/50%,50)*L86,50),CEILING(MROUND($A$5*50%,50)*L86,50)*$A$80/50%)</f>
        <v>141200</v>
      </c>
      <c r="D80" s="304" t="s">
        <v>505</v>
      </c>
      <c r="E80" s="299"/>
      <c r="F80" s="299"/>
      <c r="G80" s="299"/>
      <c r="H80" s="299"/>
      <c r="I80" s="299"/>
      <c r="J80" s="299"/>
      <c r="K80" s="299"/>
      <c r="L80" s="299"/>
    </row>
    <row r="81" spans="1:13">
      <c r="E81" s="535" t="s">
        <v>515</v>
      </c>
      <c r="F81" s="535" t="s">
        <v>515</v>
      </c>
      <c r="G81" s="535" t="s">
        <v>515</v>
      </c>
      <c r="H81" s="535" t="s">
        <v>515</v>
      </c>
      <c r="I81" s="535" t="s">
        <v>515</v>
      </c>
      <c r="K81" s="305"/>
      <c r="L81" s="306"/>
      <c r="M81" s="307" t="s">
        <v>288</v>
      </c>
    </row>
    <row r="82" spans="1:13" ht="15.75" customHeight="1">
      <c r="A82" s="308"/>
      <c r="B82" s="309"/>
      <c r="C82" s="309"/>
      <c r="D82" s="309"/>
      <c r="E82" s="684" t="s">
        <v>196</v>
      </c>
      <c r="F82" s="687" t="s">
        <v>516</v>
      </c>
      <c r="G82" s="687" t="s">
        <v>502</v>
      </c>
      <c r="H82" s="688" t="s">
        <v>517</v>
      </c>
      <c r="I82" s="691" t="s">
        <v>518</v>
      </c>
      <c r="J82" s="297"/>
      <c r="K82" s="622" t="s">
        <v>519</v>
      </c>
      <c r="L82" s="310" t="s">
        <v>520</v>
      </c>
      <c r="M82" s="536" t="s">
        <v>521</v>
      </c>
    </row>
    <row r="83" spans="1:13">
      <c r="A83" s="623"/>
      <c r="B83" s="311"/>
      <c r="C83" s="311"/>
      <c r="D83" s="312" t="s">
        <v>288</v>
      </c>
      <c r="E83" s="685"/>
      <c r="F83" s="687"/>
      <c r="G83" s="687"/>
      <c r="H83" s="689"/>
      <c r="I83" s="692"/>
      <c r="J83" s="313"/>
      <c r="K83" s="656">
        <f t="shared" ref="K83:K88" si="36">K84-1</f>
        <v>1</v>
      </c>
      <c r="L83" s="537">
        <v>0.7</v>
      </c>
      <c r="M83" s="532">
        <f t="shared" ref="M83:M90" si="37">IF($A$80=50%,CEILING(MROUND(MROUND($A$5*50%,50)*$A$80/50%,50)*L83,50),CEILING(MROUND($A$5*50%,50)*L83,50)*$A$80/50%)</f>
        <v>98900</v>
      </c>
    </row>
    <row r="84" spans="1:13" ht="29" customHeight="1">
      <c r="A84" s="315"/>
      <c r="B84" s="316" t="s">
        <v>211</v>
      </c>
      <c r="C84" s="317" t="s">
        <v>212</v>
      </c>
      <c r="D84" s="318" t="s">
        <v>521</v>
      </c>
      <c r="E84" s="686"/>
      <c r="F84" s="687"/>
      <c r="G84" s="687"/>
      <c r="H84" s="690"/>
      <c r="I84" s="693"/>
      <c r="J84" s="319"/>
      <c r="K84" s="656">
        <f t="shared" si="36"/>
        <v>2</v>
      </c>
      <c r="L84" s="537">
        <f>L83+0.1</f>
        <v>0.79999999999999993</v>
      </c>
      <c r="M84" s="532">
        <f t="shared" si="37"/>
        <v>113000</v>
      </c>
    </row>
    <row r="85" spans="1:13">
      <c r="A85" s="656" t="s">
        <v>195</v>
      </c>
      <c r="B85" s="538">
        <v>1</v>
      </c>
      <c r="C85" s="539">
        <f>IF(AND(A80&lt;=60%,$A$14="New Construction/Special Needs"),0.6,(IF(AND(A80&lt;&gt;60%,$A$14="Preservation/Rehab"),0.7,(IF(AND(A80=60%,$A$14="Preservation/Rehab"),0.7,0.6)))))</f>
        <v>0.6</v>
      </c>
      <c r="D85" s="657">
        <f>IF($A$80=50%,CEILING(MROUND(MROUND($A$5*50%,50)*$A$80/50%,50)*C85,50),CEILING(MROUND($A$5*50%,50)*C85,50)*$A$80/50%)</f>
        <v>84800</v>
      </c>
      <c r="E85" s="532">
        <f t="shared" ref="E85:E90" si="38">ROUNDDOWN(D85*$A$7/12,0)</f>
        <v>2120</v>
      </c>
      <c r="F85" s="658">
        <f>E85-VLOOKUP(A85,$D$5:$H$10,3,FALSE)</f>
        <v>2045</v>
      </c>
      <c r="G85" s="659">
        <f>E85-VLOOKUP(A85,$D$5:$G$10,2,FALSE)</f>
        <v>2034</v>
      </c>
      <c r="H85" s="532">
        <f>E85-VLOOKUP(A85,$D$5:$H$10,4,FALSE)</f>
        <v>2096</v>
      </c>
      <c r="I85" s="532">
        <f>E85-VLOOKUP(A85,$D$5:$H$10,5,FALSE)</f>
        <v>2021</v>
      </c>
      <c r="J85" s="320"/>
      <c r="K85" s="656">
        <f t="shared" si="36"/>
        <v>3</v>
      </c>
      <c r="L85" s="537">
        <f>L84+0.1</f>
        <v>0.89999999999999991</v>
      </c>
      <c r="M85" s="532">
        <f t="shared" si="37"/>
        <v>127100</v>
      </c>
    </row>
    <row r="86" spans="1:13">
      <c r="A86" s="656" t="s">
        <v>199</v>
      </c>
      <c r="B86" s="538">
        <v>1.5</v>
      </c>
      <c r="C86" s="539">
        <v>0.75</v>
      </c>
      <c r="D86" s="657">
        <f>AVERAGE(M83:M84)</f>
        <v>105950</v>
      </c>
      <c r="E86" s="532">
        <f t="shared" si="38"/>
        <v>2648</v>
      </c>
      <c r="F86" s="658">
        <f t="shared" ref="F86:F90" si="39">E86-VLOOKUP(A86,$D$5:$H$10,3,FALSE)</f>
        <v>2563</v>
      </c>
      <c r="G86" s="659">
        <f t="shared" ref="G86:G90" si="40">E86-VLOOKUP(A86,$D$5:$G$10,2,FALSE)</f>
        <v>2550</v>
      </c>
      <c r="H86" s="532">
        <f t="shared" ref="H86:H90" si="41">E86-VLOOKUP(A86,$D$5:$H$10,4,FALSE)</f>
        <v>2621</v>
      </c>
      <c r="I86" s="532">
        <f t="shared" ref="I86:I90" si="42">E86-VLOOKUP(A86,$D$5:$H$10,5,FALSE)</f>
        <v>2536</v>
      </c>
      <c r="J86" s="320"/>
      <c r="K86" s="656">
        <f t="shared" si="36"/>
        <v>4</v>
      </c>
      <c r="L86" s="537">
        <f>L85+0.1</f>
        <v>0.99999999999999989</v>
      </c>
      <c r="M86" s="532">
        <f t="shared" si="37"/>
        <v>141200</v>
      </c>
    </row>
    <row r="87" spans="1:13">
      <c r="A87" s="656" t="s">
        <v>201</v>
      </c>
      <c r="B87" s="538">
        <v>3</v>
      </c>
      <c r="C87" s="539">
        <v>0.9</v>
      </c>
      <c r="D87" s="657">
        <f>IF($A$80=50%,CEILING(MROUND(MROUND($A$5*50%,50)*$A$80/50%,50)*C87,50),CEILING(MROUND($A$5*50%,50)*C87,50)*$A$80/50%)</f>
        <v>127100</v>
      </c>
      <c r="E87" s="532">
        <f t="shared" si="38"/>
        <v>3177</v>
      </c>
      <c r="F87" s="658">
        <f t="shared" si="39"/>
        <v>3067</v>
      </c>
      <c r="G87" s="659">
        <f t="shared" si="40"/>
        <v>3048</v>
      </c>
      <c r="H87" s="532">
        <f t="shared" si="41"/>
        <v>3146</v>
      </c>
      <c r="I87" s="532">
        <f t="shared" si="42"/>
        <v>3036</v>
      </c>
      <c r="J87" s="320"/>
      <c r="K87" s="656">
        <f t="shared" si="36"/>
        <v>5</v>
      </c>
      <c r="L87" s="537">
        <f>L86+0.08</f>
        <v>1.0799999999999998</v>
      </c>
      <c r="M87" s="532">
        <f t="shared" si="37"/>
        <v>152500</v>
      </c>
    </row>
    <row r="88" spans="1:13">
      <c r="A88" s="656" t="s">
        <v>204</v>
      </c>
      <c r="B88" s="538">
        <v>4.5</v>
      </c>
      <c r="C88" s="539">
        <v>1.04</v>
      </c>
      <c r="D88" s="657">
        <f>AVERAGE(M86:M87)</f>
        <v>146850</v>
      </c>
      <c r="E88" s="532">
        <f t="shared" si="38"/>
        <v>3671</v>
      </c>
      <c r="F88" s="658">
        <f t="shared" si="39"/>
        <v>3535</v>
      </c>
      <c r="G88" s="659">
        <f t="shared" si="40"/>
        <v>3510</v>
      </c>
      <c r="H88" s="532">
        <f t="shared" si="41"/>
        <v>3636</v>
      </c>
      <c r="I88" s="532">
        <f t="shared" si="42"/>
        <v>3500</v>
      </c>
      <c r="J88" s="320"/>
      <c r="K88" s="656">
        <f t="shared" si="36"/>
        <v>6</v>
      </c>
      <c r="L88" s="537">
        <f>L87+0.08</f>
        <v>1.1599999999999999</v>
      </c>
      <c r="M88" s="532">
        <f t="shared" si="37"/>
        <v>163800</v>
      </c>
    </row>
    <row r="89" spans="1:13">
      <c r="A89" s="656" t="s">
        <v>507</v>
      </c>
      <c r="B89" s="538">
        <v>6</v>
      </c>
      <c r="C89" s="539">
        <v>1.1599999999999999</v>
      </c>
      <c r="D89" s="657">
        <f>IF($A$80=50%,CEILING(MROUND(MROUND($A$5*50%,50)*$A$80/50%,50)*C89,50),CEILING(MROUND($A$5*50%,50)*C89,50)*$A$80/50%)</f>
        <v>163800</v>
      </c>
      <c r="E89" s="532">
        <f t="shared" si="38"/>
        <v>4095</v>
      </c>
      <c r="F89" s="658">
        <f t="shared" si="39"/>
        <v>3933</v>
      </c>
      <c r="G89" s="659">
        <f t="shared" si="40"/>
        <v>3902</v>
      </c>
      <c r="H89" s="532">
        <f t="shared" si="41"/>
        <v>4056</v>
      </c>
      <c r="I89" s="532">
        <f t="shared" si="42"/>
        <v>3894</v>
      </c>
      <c r="J89" s="320"/>
      <c r="K89" s="656">
        <f>K90-1</f>
        <v>7</v>
      </c>
      <c r="L89" s="537">
        <f>L88+0.08</f>
        <v>1.24</v>
      </c>
      <c r="M89" s="532">
        <f t="shared" si="37"/>
        <v>175100</v>
      </c>
    </row>
    <row r="90" spans="1:13">
      <c r="A90" s="656" t="s">
        <v>508</v>
      </c>
      <c r="B90" s="538">
        <v>7.5</v>
      </c>
      <c r="C90" s="539">
        <f>1.28</f>
        <v>1.28</v>
      </c>
      <c r="D90" s="657">
        <f>AVERAGE(M89:M90)</f>
        <v>180750</v>
      </c>
      <c r="E90" s="532">
        <f t="shared" si="38"/>
        <v>4518</v>
      </c>
      <c r="F90" s="658">
        <f t="shared" si="39"/>
        <v>4330</v>
      </c>
      <c r="G90" s="659">
        <f t="shared" si="40"/>
        <v>4293</v>
      </c>
      <c r="H90" s="532">
        <f t="shared" si="41"/>
        <v>4475</v>
      </c>
      <c r="I90" s="532">
        <f t="shared" si="42"/>
        <v>4287</v>
      </c>
      <c r="J90" s="320"/>
      <c r="K90" s="656">
        <v>8</v>
      </c>
      <c r="L90" s="537">
        <f>L89+0.08</f>
        <v>1.32</v>
      </c>
      <c r="M90" s="532">
        <f t="shared" si="37"/>
        <v>186400</v>
      </c>
    </row>
    <row r="92" spans="1:13">
      <c r="A92" s="533">
        <v>1.3</v>
      </c>
      <c r="B92" s="655" t="s">
        <v>514</v>
      </c>
      <c r="C92" s="532">
        <f>IF($A$92=50%,CEILING(MROUND(MROUND($A$5*50%,50)*$A$92/50%,50)*L98,50),CEILING(MROUND($A$5*50%,50)*L98,50)*$A$92/50%)</f>
        <v>183560</v>
      </c>
      <c r="D92" s="304" t="s">
        <v>505</v>
      </c>
      <c r="E92" s="299"/>
      <c r="F92" s="299"/>
      <c r="G92" s="299"/>
      <c r="H92" s="299"/>
      <c r="I92" s="299"/>
      <c r="J92" s="299"/>
      <c r="K92" s="299"/>
      <c r="L92" s="299"/>
    </row>
    <row r="93" spans="1:13">
      <c r="E93" s="535" t="s">
        <v>515</v>
      </c>
      <c r="F93" s="535" t="s">
        <v>515</v>
      </c>
      <c r="G93" s="535" t="s">
        <v>515</v>
      </c>
      <c r="H93" s="535" t="s">
        <v>515</v>
      </c>
      <c r="I93" s="535" t="s">
        <v>515</v>
      </c>
      <c r="K93" s="305"/>
      <c r="L93" s="306"/>
      <c r="M93" s="307" t="s">
        <v>288</v>
      </c>
    </row>
    <row r="94" spans="1:13" ht="15.75" customHeight="1">
      <c r="A94" s="308"/>
      <c r="B94" s="309"/>
      <c r="C94" s="309"/>
      <c r="D94" s="309"/>
      <c r="E94" s="684" t="s">
        <v>196</v>
      </c>
      <c r="F94" s="687" t="s">
        <v>516</v>
      </c>
      <c r="G94" s="687" t="s">
        <v>502</v>
      </c>
      <c r="H94" s="688" t="s">
        <v>517</v>
      </c>
      <c r="I94" s="691" t="s">
        <v>518</v>
      </c>
      <c r="J94" s="297"/>
      <c r="K94" s="622" t="s">
        <v>519</v>
      </c>
      <c r="L94" s="310" t="s">
        <v>520</v>
      </c>
      <c r="M94" s="536" t="s">
        <v>521</v>
      </c>
    </row>
    <row r="95" spans="1:13">
      <c r="A95" s="623"/>
      <c r="B95" s="311"/>
      <c r="C95" s="311"/>
      <c r="D95" s="312" t="s">
        <v>288</v>
      </c>
      <c r="E95" s="685"/>
      <c r="F95" s="687"/>
      <c r="G95" s="687"/>
      <c r="H95" s="689"/>
      <c r="I95" s="692"/>
      <c r="J95" s="313"/>
      <c r="K95" s="656">
        <f t="shared" ref="K95:K100" si="43">K96-1</f>
        <v>1</v>
      </c>
      <c r="L95" s="537">
        <v>0.7</v>
      </c>
      <c r="M95" s="532">
        <f t="shared" ref="M95:M102" si="44">IF($A$92=50%,CEILING(MROUND(MROUND($A$5*50%,50)*$A$92/50%,50)*L95,50),CEILING(MROUND($A$5*50%,50)*L95,50)*$A$92/50%)</f>
        <v>128570</v>
      </c>
    </row>
    <row r="96" spans="1:13" ht="31.5" customHeight="1">
      <c r="A96" s="315"/>
      <c r="B96" s="316" t="s">
        <v>211</v>
      </c>
      <c r="C96" s="317" t="s">
        <v>212</v>
      </c>
      <c r="D96" s="318" t="s">
        <v>521</v>
      </c>
      <c r="E96" s="686"/>
      <c r="F96" s="687"/>
      <c r="G96" s="687"/>
      <c r="H96" s="690"/>
      <c r="I96" s="693"/>
      <c r="J96" s="319"/>
      <c r="K96" s="656">
        <f t="shared" si="43"/>
        <v>2</v>
      </c>
      <c r="L96" s="537">
        <f>L95+0.1</f>
        <v>0.79999999999999993</v>
      </c>
      <c r="M96" s="532">
        <f t="shared" si="44"/>
        <v>146900</v>
      </c>
    </row>
    <row r="97" spans="1:13">
      <c r="A97" s="656" t="s">
        <v>195</v>
      </c>
      <c r="B97" s="538">
        <v>1</v>
      </c>
      <c r="C97" s="539">
        <f>IF(AND(A92&lt;=60%,$A$14="New Construction/Special Needs"),0.6,(IF(AND(A92&lt;&gt;60%,$A$14="Preservation/Rehab"),0.7,(IF(AND(A92=60%,$A$14="Preservation/Rehab"),0.7,0.6)))))</f>
        <v>0.6</v>
      </c>
      <c r="D97" s="657">
        <f>IF($A$92=50%,CEILING(MROUND(MROUND($A$5*50%,50)*$A$92/50%,50)*C97,50),CEILING(MROUND($A$5*50%,50)*C97,50)*$A$92/50%)</f>
        <v>110240</v>
      </c>
      <c r="E97" s="532">
        <f t="shared" ref="E97:E102" si="45">ROUNDDOWN(D97*$A$7/12,0)</f>
        <v>2756</v>
      </c>
      <c r="F97" s="658">
        <f>E97-VLOOKUP(A97,$D$5:$H$10,3,FALSE)</f>
        <v>2681</v>
      </c>
      <c r="G97" s="659">
        <f>E97-VLOOKUP(A97,$D$5:$G$10,2,FALSE)</f>
        <v>2670</v>
      </c>
      <c r="H97" s="532">
        <f>E97-VLOOKUP(A97,$D$5:$H$10,4,FALSE)</f>
        <v>2732</v>
      </c>
      <c r="I97" s="532">
        <f>E97-VLOOKUP(A97,$D$5:$H$10,5,FALSE)</f>
        <v>2657</v>
      </c>
      <c r="J97" s="320"/>
      <c r="K97" s="656">
        <f t="shared" si="43"/>
        <v>3</v>
      </c>
      <c r="L97" s="537">
        <f>L96+0.1</f>
        <v>0.89999999999999991</v>
      </c>
      <c r="M97" s="532">
        <f t="shared" si="44"/>
        <v>165230</v>
      </c>
    </row>
    <row r="98" spans="1:13">
      <c r="A98" s="656" t="s">
        <v>199</v>
      </c>
      <c r="B98" s="538">
        <v>1.5</v>
      </c>
      <c r="C98" s="539">
        <v>0.75</v>
      </c>
      <c r="D98" s="657">
        <f>AVERAGE(M95:M96)</f>
        <v>137735</v>
      </c>
      <c r="E98" s="532">
        <f t="shared" si="45"/>
        <v>3443</v>
      </c>
      <c r="F98" s="658">
        <f t="shared" ref="F98:F102" si="46">E98-VLOOKUP(A98,$D$5:$H$10,3,FALSE)</f>
        <v>3358</v>
      </c>
      <c r="G98" s="659">
        <f t="shared" ref="G98:G102" si="47">E98-VLOOKUP(A98,$D$5:$G$10,2,FALSE)</f>
        <v>3345</v>
      </c>
      <c r="H98" s="532">
        <f t="shared" ref="H98:H102" si="48">E98-VLOOKUP(A98,$D$5:$H$10,4,FALSE)</f>
        <v>3416</v>
      </c>
      <c r="I98" s="532">
        <f t="shared" ref="I98:I102" si="49">E98-VLOOKUP(A98,$D$5:$H$10,5,FALSE)</f>
        <v>3331</v>
      </c>
      <c r="J98" s="320"/>
      <c r="K98" s="656">
        <f t="shared" si="43"/>
        <v>4</v>
      </c>
      <c r="L98" s="537">
        <f>L97+0.1</f>
        <v>0.99999999999999989</v>
      </c>
      <c r="M98" s="532">
        <f t="shared" si="44"/>
        <v>183560</v>
      </c>
    </row>
    <row r="99" spans="1:13">
      <c r="A99" s="656" t="s">
        <v>201</v>
      </c>
      <c r="B99" s="538">
        <v>3</v>
      </c>
      <c r="C99" s="539">
        <v>0.9</v>
      </c>
      <c r="D99" s="657">
        <f>IF($A$92=50%,CEILING(MROUND(MROUND($A$5*50%,50)*$A$92/50%,50)*C99,50),CEILING(MROUND($A$5*50%,50)*C99,50)*$A$92/50%)</f>
        <v>165230</v>
      </c>
      <c r="E99" s="532">
        <f t="shared" si="45"/>
        <v>4130</v>
      </c>
      <c r="F99" s="658">
        <f t="shared" si="46"/>
        <v>4020</v>
      </c>
      <c r="G99" s="659">
        <f t="shared" si="47"/>
        <v>4001</v>
      </c>
      <c r="H99" s="532">
        <f t="shared" si="48"/>
        <v>4099</v>
      </c>
      <c r="I99" s="532">
        <f t="shared" si="49"/>
        <v>3989</v>
      </c>
      <c r="J99" s="320"/>
      <c r="K99" s="656">
        <f t="shared" si="43"/>
        <v>5</v>
      </c>
      <c r="L99" s="537">
        <f>L98+0.08</f>
        <v>1.0799999999999998</v>
      </c>
      <c r="M99" s="532">
        <f t="shared" si="44"/>
        <v>198250</v>
      </c>
    </row>
    <row r="100" spans="1:13">
      <c r="A100" s="656" t="s">
        <v>204</v>
      </c>
      <c r="B100" s="538">
        <v>4.5</v>
      </c>
      <c r="C100" s="539">
        <v>1.04</v>
      </c>
      <c r="D100" s="657">
        <f>AVERAGE(M98:M99)</f>
        <v>190905</v>
      </c>
      <c r="E100" s="532">
        <f t="shared" si="45"/>
        <v>4772</v>
      </c>
      <c r="F100" s="658">
        <f t="shared" si="46"/>
        <v>4636</v>
      </c>
      <c r="G100" s="659">
        <f t="shared" si="47"/>
        <v>4611</v>
      </c>
      <c r="H100" s="532">
        <f t="shared" si="48"/>
        <v>4737</v>
      </c>
      <c r="I100" s="532">
        <f t="shared" si="49"/>
        <v>4601</v>
      </c>
      <c r="J100" s="320"/>
      <c r="K100" s="656">
        <f t="shared" si="43"/>
        <v>6</v>
      </c>
      <c r="L100" s="537">
        <f>L99+0.08</f>
        <v>1.1599999999999999</v>
      </c>
      <c r="M100" s="532">
        <f t="shared" si="44"/>
        <v>212940</v>
      </c>
    </row>
    <row r="101" spans="1:13">
      <c r="A101" s="656" t="s">
        <v>507</v>
      </c>
      <c r="B101" s="538">
        <v>6</v>
      </c>
      <c r="C101" s="539">
        <v>1.1599999999999999</v>
      </c>
      <c r="D101" s="657">
        <f>IF($A$92=50%,CEILING(MROUND(MROUND($A$5*50%,50)*$A$92/50%,50)*C101,50),CEILING(MROUND($A$5*50%,50)*C101,50)*$A$92/50%)</f>
        <v>212940</v>
      </c>
      <c r="E101" s="532">
        <f t="shared" si="45"/>
        <v>5323</v>
      </c>
      <c r="F101" s="658">
        <f t="shared" si="46"/>
        <v>5161</v>
      </c>
      <c r="G101" s="659">
        <f t="shared" si="47"/>
        <v>5130</v>
      </c>
      <c r="H101" s="532">
        <f t="shared" si="48"/>
        <v>5284</v>
      </c>
      <c r="I101" s="532">
        <f t="shared" si="49"/>
        <v>5122</v>
      </c>
      <c r="J101" s="320"/>
      <c r="K101" s="656">
        <f>K102-1</f>
        <v>7</v>
      </c>
      <c r="L101" s="537">
        <f>L100+0.08</f>
        <v>1.24</v>
      </c>
      <c r="M101" s="532">
        <f t="shared" si="44"/>
        <v>227630</v>
      </c>
    </row>
    <row r="102" spans="1:13">
      <c r="A102" s="656" t="s">
        <v>508</v>
      </c>
      <c r="B102" s="538">
        <v>7.5</v>
      </c>
      <c r="C102" s="539">
        <f>1.28</f>
        <v>1.28</v>
      </c>
      <c r="D102" s="657">
        <f>AVERAGE(M101:M102)</f>
        <v>234975</v>
      </c>
      <c r="E102" s="532">
        <f t="shared" si="45"/>
        <v>5874</v>
      </c>
      <c r="F102" s="658">
        <f t="shared" si="46"/>
        <v>5686</v>
      </c>
      <c r="G102" s="659">
        <f t="shared" si="47"/>
        <v>5649</v>
      </c>
      <c r="H102" s="532">
        <f t="shared" si="48"/>
        <v>5831</v>
      </c>
      <c r="I102" s="532">
        <f t="shared" si="49"/>
        <v>5643</v>
      </c>
      <c r="J102" s="320"/>
      <c r="K102" s="656">
        <v>8</v>
      </c>
      <c r="L102" s="537">
        <f>L101+0.08</f>
        <v>1.32</v>
      </c>
      <c r="M102" s="532">
        <f t="shared" si="44"/>
        <v>242320</v>
      </c>
    </row>
    <row r="104" spans="1:13">
      <c r="A104" s="533">
        <v>1.65</v>
      </c>
      <c r="B104" s="655" t="s">
        <v>514</v>
      </c>
      <c r="C104" s="532">
        <f>IF($A$104=50%,CEILING(MROUND(MROUND($A$5*50%,50)*$A$104/50%,50)*L110,50),CEILING(MROUND($A$5*50%,50)*L110,50)*$A$104/50%)</f>
        <v>232980</v>
      </c>
      <c r="D104" s="304" t="s">
        <v>505</v>
      </c>
      <c r="E104" s="299"/>
      <c r="F104" s="299"/>
      <c r="G104" s="299"/>
      <c r="H104" s="299"/>
      <c r="I104" s="299"/>
      <c r="J104" s="299"/>
      <c r="K104" s="299"/>
      <c r="L104" s="299"/>
    </row>
    <row r="105" spans="1:13">
      <c r="E105" s="535" t="s">
        <v>515</v>
      </c>
      <c r="F105" s="535" t="s">
        <v>515</v>
      </c>
      <c r="G105" s="535" t="s">
        <v>515</v>
      </c>
      <c r="H105" s="535" t="s">
        <v>515</v>
      </c>
      <c r="I105" s="535" t="s">
        <v>515</v>
      </c>
      <c r="K105" s="305"/>
      <c r="L105" s="306"/>
      <c r="M105" s="307" t="s">
        <v>288</v>
      </c>
    </row>
    <row r="106" spans="1:13" ht="15.75" customHeight="1">
      <c r="A106" s="308"/>
      <c r="B106" s="309"/>
      <c r="C106" s="309"/>
      <c r="D106" s="309"/>
      <c r="E106" s="684" t="s">
        <v>196</v>
      </c>
      <c r="F106" s="687" t="s">
        <v>516</v>
      </c>
      <c r="G106" s="687" t="s">
        <v>502</v>
      </c>
      <c r="H106" s="688" t="s">
        <v>517</v>
      </c>
      <c r="I106" s="691" t="s">
        <v>518</v>
      </c>
      <c r="J106" s="297"/>
      <c r="K106" s="622" t="s">
        <v>519</v>
      </c>
      <c r="L106" s="310" t="s">
        <v>520</v>
      </c>
      <c r="M106" s="536" t="s">
        <v>521</v>
      </c>
    </row>
    <row r="107" spans="1:13">
      <c r="A107" s="623"/>
      <c r="B107" s="311"/>
      <c r="C107" s="311"/>
      <c r="D107" s="312" t="s">
        <v>288</v>
      </c>
      <c r="E107" s="685"/>
      <c r="F107" s="687"/>
      <c r="G107" s="687"/>
      <c r="H107" s="689"/>
      <c r="I107" s="692"/>
      <c r="J107" s="313"/>
      <c r="K107" s="656">
        <f t="shared" ref="K107:K112" si="50">K108-1</f>
        <v>1</v>
      </c>
      <c r="L107" s="537">
        <v>0.7</v>
      </c>
      <c r="M107" s="532">
        <f t="shared" ref="M107:M114" si="51">IF($A$104=50%,CEILING(MROUND(MROUND($A$5*50%,50)*$A$104/50%,50)*L107,50),CEILING(MROUND($A$5*50%,50)*L107,50)*$A$104/50%)</f>
        <v>163185</v>
      </c>
    </row>
    <row r="108" spans="1:13" ht="30" customHeight="1">
      <c r="A108" s="315"/>
      <c r="B108" s="316" t="s">
        <v>211</v>
      </c>
      <c r="C108" s="317" t="s">
        <v>212</v>
      </c>
      <c r="D108" s="318" t="s">
        <v>521</v>
      </c>
      <c r="E108" s="686"/>
      <c r="F108" s="687"/>
      <c r="G108" s="687"/>
      <c r="H108" s="690"/>
      <c r="I108" s="693"/>
      <c r="J108" s="319"/>
      <c r="K108" s="656">
        <f t="shared" si="50"/>
        <v>2</v>
      </c>
      <c r="L108" s="537">
        <f>L107+0.1</f>
        <v>0.79999999999999993</v>
      </c>
      <c r="M108" s="532">
        <f t="shared" si="51"/>
        <v>186450</v>
      </c>
    </row>
    <row r="109" spans="1:13">
      <c r="A109" s="656" t="s">
        <v>195</v>
      </c>
      <c r="B109" s="538">
        <v>1</v>
      </c>
      <c r="C109" s="539">
        <f>IF(AND(A104&lt;=60%,$A$14="New Construction/Special Needs"),0.6,(IF(AND(A104&lt;&gt;60%,$A$14="Preservation/Rehab"),0.7,(IF(AND(A104=60%,$A$14="Preservation/Rehab"),0.7,0.6)))))</f>
        <v>0.6</v>
      </c>
      <c r="D109" s="657">
        <f>IF($A$104=50%,CEILING(MROUND(MROUND($A$5*50%,50)*$A$104/50%,50)*C109,50),CEILING(MROUND($A$5*50%,50)*C109,50)*$A$104/50%)</f>
        <v>139920</v>
      </c>
      <c r="E109" s="532">
        <f t="shared" ref="E109:E114" si="52">ROUNDDOWN(D109*$A$7/12,0)</f>
        <v>3498</v>
      </c>
      <c r="F109" s="658">
        <f>E109-VLOOKUP(A109,$D$5:$H$10,3,FALSE)</f>
        <v>3423</v>
      </c>
      <c r="G109" s="659">
        <f>E109-VLOOKUP(A109,$D$5:$G$10,2,FALSE)</f>
        <v>3412</v>
      </c>
      <c r="H109" s="532">
        <f>E109-VLOOKUP(A109,$D$5:$H$10,4,FALSE)</f>
        <v>3474</v>
      </c>
      <c r="I109" s="532">
        <f>E109-VLOOKUP(A109,$D$5:$H$10,5,FALSE)</f>
        <v>3399</v>
      </c>
      <c r="J109" s="320"/>
      <c r="K109" s="656">
        <f t="shared" si="50"/>
        <v>3</v>
      </c>
      <c r="L109" s="537">
        <f>L108+0.1</f>
        <v>0.89999999999999991</v>
      </c>
      <c r="M109" s="532">
        <f t="shared" si="51"/>
        <v>209715</v>
      </c>
    </row>
    <row r="110" spans="1:13">
      <c r="A110" s="656" t="s">
        <v>199</v>
      </c>
      <c r="B110" s="538">
        <v>1.5</v>
      </c>
      <c r="C110" s="539">
        <v>0.75</v>
      </c>
      <c r="D110" s="657">
        <f>AVERAGE(M107:M108)</f>
        <v>174817.5</v>
      </c>
      <c r="E110" s="532">
        <f t="shared" si="52"/>
        <v>4370</v>
      </c>
      <c r="F110" s="658">
        <f t="shared" ref="F110:F114" si="53">E110-VLOOKUP(A110,$D$5:$H$10,3,FALSE)</f>
        <v>4285</v>
      </c>
      <c r="G110" s="659">
        <f t="shared" ref="G110:G114" si="54">E110-VLOOKUP(A110,$D$5:$G$10,2,FALSE)</f>
        <v>4272</v>
      </c>
      <c r="H110" s="532">
        <f t="shared" ref="H110:H114" si="55">E110-VLOOKUP(A110,$D$5:$H$10,4,FALSE)</f>
        <v>4343</v>
      </c>
      <c r="I110" s="532">
        <f t="shared" ref="I110:I114" si="56">E110-VLOOKUP(A110,$D$5:$H$10,5,FALSE)</f>
        <v>4258</v>
      </c>
      <c r="J110" s="320"/>
      <c r="K110" s="656">
        <f t="shared" si="50"/>
        <v>4</v>
      </c>
      <c r="L110" s="537">
        <f>L109+0.1</f>
        <v>0.99999999999999989</v>
      </c>
      <c r="M110" s="532">
        <f t="shared" si="51"/>
        <v>232980</v>
      </c>
    </row>
    <row r="111" spans="1:13">
      <c r="A111" s="656" t="s">
        <v>201</v>
      </c>
      <c r="B111" s="538">
        <v>3</v>
      </c>
      <c r="C111" s="539">
        <v>0.9</v>
      </c>
      <c r="D111" s="657">
        <f>IF($A$104=50%,CEILING(MROUND(MROUND($A$5*50%,50)*$A$104/50%,50)*C111,50),CEILING(MROUND($A$5*50%,50)*C111,50)*$A$104/50%)</f>
        <v>209715</v>
      </c>
      <c r="E111" s="532">
        <f t="shared" si="52"/>
        <v>5242</v>
      </c>
      <c r="F111" s="658">
        <f t="shared" si="53"/>
        <v>5132</v>
      </c>
      <c r="G111" s="659">
        <f t="shared" si="54"/>
        <v>5113</v>
      </c>
      <c r="H111" s="532">
        <f t="shared" si="55"/>
        <v>5211</v>
      </c>
      <c r="I111" s="532">
        <f t="shared" si="56"/>
        <v>5101</v>
      </c>
      <c r="J111" s="320"/>
      <c r="K111" s="656">
        <f t="shared" si="50"/>
        <v>5</v>
      </c>
      <c r="L111" s="537">
        <f>L110+0.08</f>
        <v>1.0799999999999998</v>
      </c>
      <c r="M111" s="532">
        <f t="shared" si="51"/>
        <v>251625</v>
      </c>
    </row>
    <row r="112" spans="1:13">
      <c r="A112" s="656" t="s">
        <v>204</v>
      </c>
      <c r="B112" s="538">
        <v>4.5</v>
      </c>
      <c r="C112" s="539">
        <v>1.04</v>
      </c>
      <c r="D112" s="657">
        <f>AVERAGE(M110:M111)</f>
        <v>242302.5</v>
      </c>
      <c r="E112" s="532">
        <f t="shared" si="52"/>
        <v>6057</v>
      </c>
      <c r="F112" s="658">
        <f t="shared" si="53"/>
        <v>5921</v>
      </c>
      <c r="G112" s="659">
        <f t="shared" si="54"/>
        <v>5896</v>
      </c>
      <c r="H112" s="532">
        <f t="shared" si="55"/>
        <v>6022</v>
      </c>
      <c r="I112" s="532">
        <f t="shared" si="56"/>
        <v>5886</v>
      </c>
      <c r="J112" s="320"/>
      <c r="K112" s="656">
        <f t="shared" si="50"/>
        <v>6</v>
      </c>
      <c r="L112" s="537">
        <f>L111+0.08</f>
        <v>1.1599999999999999</v>
      </c>
      <c r="M112" s="532">
        <f t="shared" si="51"/>
        <v>270270</v>
      </c>
    </row>
    <row r="113" spans="1:13">
      <c r="A113" s="656" t="s">
        <v>507</v>
      </c>
      <c r="B113" s="538">
        <v>6</v>
      </c>
      <c r="C113" s="539">
        <v>1.1599999999999999</v>
      </c>
      <c r="D113" s="657">
        <f>IF($A$104=50%,CEILING(MROUND(MROUND($A$5*50%,50)*$A$104/50%,50)*C113,50),CEILING(MROUND($A$5*50%,50)*C113,50)*$A$104/50%)</f>
        <v>270270</v>
      </c>
      <c r="E113" s="532">
        <f t="shared" si="52"/>
        <v>6756</v>
      </c>
      <c r="F113" s="658">
        <f t="shared" si="53"/>
        <v>6594</v>
      </c>
      <c r="G113" s="659">
        <f t="shared" si="54"/>
        <v>6563</v>
      </c>
      <c r="H113" s="532">
        <f t="shared" si="55"/>
        <v>6717</v>
      </c>
      <c r="I113" s="532">
        <f t="shared" si="56"/>
        <v>6555</v>
      </c>
      <c r="J113" s="320"/>
      <c r="K113" s="656">
        <f>K114-1</f>
        <v>7</v>
      </c>
      <c r="L113" s="537">
        <f>L112+0.08</f>
        <v>1.24</v>
      </c>
      <c r="M113" s="532">
        <f t="shared" si="51"/>
        <v>288915</v>
      </c>
    </row>
    <row r="114" spans="1:13">
      <c r="A114" s="656" t="s">
        <v>508</v>
      </c>
      <c r="B114" s="538">
        <v>7.5</v>
      </c>
      <c r="C114" s="539">
        <f>1.28</f>
        <v>1.28</v>
      </c>
      <c r="D114" s="657">
        <f>AVERAGE(M113:M114)</f>
        <v>298237.5</v>
      </c>
      <c r="E114" s="532">
        <f t="shared" si="52"/>
        <v>7455</v>
      </c>
      <c r="F114" s="658">
        <f t="shared" si="53"/>
        <v>7267</v>
      </c>
      <c r="G114" s="659">
        <f t="shared" si="54"/>
        <v>7230</v>
      </c>
      <c r="H114" s="532">
        <f t="shared" si="55"/>
        <v>7412</v>
      </c>
      <c r="I114" s="532">
        <f t="shared" si="56"/>
        <v>7224</v>
      </c>
      <c r="J114" s="320"/>
      <c r="K114" s="656">
        <v>8</v>
      </c>
      <c r="L114" s="537">
        <f>L113+0.08</f>
        <v>1.32</v>
      </c>
      <c r="M114" s="532">
        <f t="shared" si="51"/>
        <v>307560</v>
      </c>
    </row>
  </sheetData>
  <mergeCells count="46">
    <mergeCell ref="E94:E96"/>
    <mergeCell ref="F94:F96"/>
    <mergeCell ref="G94:G96"/>
    <mergeCell ref="H94:H96"/>
    <mergeCell ref="I94:I96"/>
    <mergeCell ref="E106:E108"/>
    <mergeCell ref="F106:F108"/>
    <mergeCell ref="G106:G108"/>
    <mergeCell ref="H106:H108"/>
    <mergeCell ref="I106:I108"/>
    <mergeCell ref="E70:E72"/>
    <mergeCell ref="F70:F72"/>
    <mergeCell ref="G70:G72"/>
    <mergeCell ref="H70:H72"/>
    <mergeCell ref="I70:I72"/>
    <mergeCell ref="E82:E84"/>
    <mergeCell ref="F82:F84"/>
    <mergeCell ref="G82:G84"/>
    <mergeCell ref="H82:H84"/>
    <mergeCell ref="I82:I84"/>
    <mergeCell ref="E44:E46"/>
    <mergeCell ref="F44:F46"/>
    <mergeCell ref="G44:G46"/>
    <mergeCell ref="H44:H46"/>
    <mergeCell ref="I44:I46"/>
    <mergeCell ref="E57:E59"/>
    <mergeCell ref="F57:F59"/>
    <mergeCell ref="G57:G59"/>
    <mergeCell ref="H57:H59"/>
    <mergeCell ref="I57:I59"/>
    <mergeCell ref="E19:E21"/>
    <mergeCell ref="F19:F21"/>
    <mergeCell ref="G19:G21"/>
    <mergeCell ref="H19:H21"/>
    <mergeCell ref="I19:I21"/>
    <mergeCell ref="E31:E33"/>
    <mergeCell ref="F31:F33"/>
    <mergeCell ref="G31:G33"/>
    <mergeCell ref="H31:H33"/>
    <mergeCell ref="I31:I33"/>
    <mergeCell ref="A14:C14"/>
    <mergeCell ref="E3:E4"/>
    <mergeCell ref="F3:F4"/>
    <mergeCell ref="G3:G4"/>
    <mergeCell ref="H3:H4"/>
    <mergeCell ref="A13:C13"/>
  </mergeCells>
  <conditionalFormatting sqref="C22">
    <cfRule type="expression" dxfId="7" priority="8">
      <formula>C22&lt;0.7</formula>
    </cfRule>
  </conditionalFormatting>
  <conditionalFormatting sqref="C34">
    <cfRule type="expression" dxfId="6" priority="7">
      <formula>C34&lt;0.7</formula>
    </cfRule>
  </conditionalFormatting>
  <conditionalFormatting sqref="C47">
    <cfRule type="expression" dxfId="5" priority="6">
      <formula>C47&lt;0.7</formula>
    </cfRule>
  </conditionalFormatting>
  <conditionalFormatting sqref="C60">
    <cfRule type="expression" dxfId="4" priority="5">
      <formula>C60&lt;0.7</formula>
    </cfRule>
  </conditionalFormatting>
  <conditionalFormatting sqref="C73">
    <cfRule type="expression" dxfId="3" priority="4">
      <formula>C73&lt;0.7</formula>
    </cfRule>
  </conditionalFormatting>
  <conditionalFormatting sqref="C85">
    <cfRule type="expression" dxfId="2" priority="3">
      <formula>C85&lt;0.7</formula>
    </cfRule>
  </conditionalFormatting>
  <conditionalFormatting sqref="C97">
    <cfRule type="expression" dxfId="1" priority="2">
      <formula>C97&lt;0.7</formula>
    </cfRule>
  </conditionalFormatting>
  <conditionalFormatting sqref="C109">
    <cfRule type="expression" dxfId="0" priority="1">
      <formula>C109&lt;0.7</formula>
    </cfRule>
  </conditionalFormatting>
  <dataValidations count="1">
    <dataValidation type="list" allowBlank="1" showInputMessage="1" showErrorMessage="1" sqref="A14" xr:uid="{2430E5A7-5833-4C56-9240-6C4ECDA97125}">
      <formula1>ProjectType</formula1>
    </dataValidation>
  </dataValidations>
  <pageMargins left="0.5" right="0.5" top="0.5" bottom="0.5" header="0.5" footer="0.5"/>
  <pageSetup paperSize="5" scale="49" orientation="portrait" r:id="rId1"/>
  <headerFooter alignWithMargins="0"/>
  <colBreaks count="1" manualBreakCount="1">
    <brk id="12" max="3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54"/>
  <sheetViews>
    <sheetView zoomScale="55" zoomScaleNormal="55" workbookViewId="0">
      <selection activeCell="E9" sqref="E9"/>
    </sheetView>
  </sheetViews>
  <sheetFormatPr baseColWidth="10" defaultColWidth="7.140625" defaultRowHeight="13"/>
  <cols>
    <col min="1" max="1" width="17.5703125" style="133" customWidth="1"/>
    <col min="2" max="2" width="14.7109375" style="133" customWidth="1"/>
    <col min="3" max="3" width="13.5703125" style="133" customWidth="1"/>
    <col min="4" max="4" width="1.28515625" style="133" customWidth="1"/>
    <col min="5" max="5" width="13.7109375" style="133" customWidth="1"/>
    <col min="6" max="6" width="1.28515625" style="133" customWidth="1"/>
    <col min="7" max="7" width="13.85546875" style="133" customWidth="1"/>
    <col min="8" max="8" width="1.28515625" style="133" customWidth="1"/>
    <col min="9" max="9" width="10.28515625" style="133" customWidth="1"/>
    <col min="10" max="16384" width="7.140625" style="133"/>
  </cols>
  <sheetData>
    <row r="1" spans="1:256" s="135" customFormat="1">
      <c r="A1" s="135" t="str">
        <f>'Sources and Use'!A1</f>
        <v xml:space="preserve">Project Name: </v>
      </c>
      <c r="G1" s="157" t="str">
        <f>'Sources and Use'!C2</f>
        <v>Units:</v>
      </c>
      <c r="I1" s="135">
        <f>'Units &amp; Income'!C23</f>
        <v>0</v>
      </c>
      <c r="BQ1" s="135" t="s">
        <v>522</v>
      </c>
      <c r="BR1" s="135" t="s">
        <v>522</v>
      </c>
      <c r="BS1" s="135" t="s">
        <v>522</v>
      </c>
      <c r="BT1" s="135" t="s">
        <v>522</v>
      </c>
      <c r="BU1" s="135" t="s">
        <v>522</v>
      </c>
      <c r="BV1" s="135" t="s">
        <v>522</v>
      </c>
      <c r="BW1" s="135" t="s">
        <v>522</v>
      </c>
      <c r="BX1" s="135" t="s">
        <v>522</v>
      </c>
      <c r="BY1" s="135" t="s">
        <v>522</v>
      </c>
      <c r="BZ1" s="135" t="s">
        <v>522</v>
      </c>
      <c r="CA1" s="135" t="s">
        <v>522</v>
      </c>
      <c r="CB1" s="135" t="s">
        <v>522</v>
      </c>
      <c r="CC1" s="135" t="s">
        <v>522</v>
      </c>
      <c r="CD1" s="135" t="s">
        <v>522</v>
      </c>
      <c r="CE1" s="135" t="s">
        <v>522</v>
      </c>
      <c r="CF1" s="135" t="s">
        <v>522</v>
      </c>
      <c r="CG1" s="135" t="s">
        <v>522</v>
      </c>
      <c r="CH1" s="135" t="s">
        <v>522</v>
      </c>
      <c r="CI1" s="135" t="s">
        <v>522</v>
      </c>
      <c r="CJ1" s="135" t="s">
        <v>522</v>
      </c>
      <c r="CK1" s="135" t="s">
        <v>522</v>
      </c>
      <c r="CL1" s="135" t="s">
        <v>522</v>
      </c>
      <c r="CM1" s="135" t="s">
        <v>522</v>
      </c>
      <c r="CN1" s="135" t="s">
        <v>522</v>
      </c>
      <c r="CO1" s="135" t="s">
        <v>522</v>
      </c>
      <c r="CP1" s="135" t="s">
        <v>522</v>
      </c>
      <c r="CQ1" s="135" t="s">
        <v>522</v>
      </c>
      <c r="CR1" s="135" t="s">
        <v>522</v>
      </c>
      <c r="CS1" s="135" t="s">
        <v>522</v>
      </c>
      <c r="CT1" s="135" t="s">
        <v>522</v>
      </c>
      <c r="CU1" s="135" t="s">
        <v>522</v>
      </c>
      <c r="CV1" s="135" t="s">
        <v>522</v>
      </c>
      <c r="CW1" s="135" t="s">
        <v>522</v>
      </c>
      <c r="CX1" s="135" t="s">
        <v>522</v>
      </c>
      <c r="CY1" s="135" t="s">
        <v>522</v>
      </c>
      <c r="CZ1" s="135" t="s">
        <v>522</v>
      </c>
      <c r="DA1" s="135" t="s">
        <v>522</v>
      </c>
      <c r="DB1" s="135" t="s">
        <v>522</v>
      </c>
      <c r="DC1" s="135" t="s">
        <v>522</v>
      </c>
      <c r="DD1" s="135" t="s">
        <v>522</v>
      </c>
      <c r="DE1" s="135" t="s">
        <v>522</v>
      </c>
      <c r="DF1" s="135" t="s">
        <v>522</v>
      </c>
      <c r="DG1" s="135" t="s">
        <v>522</v>
      </c>
      <c r="DH1" s="135" t="s">
        <v>522</v>
      </c>
      <c r="DI1" s="135" t="s">
        <v>522</v>
      </c>
      <c r="DJ1" s="135" t="s">
        <v>522</v>
      </c>
      <c r="DK1" s="135" t="s">
        <v>522</v>
      </c>
      <c r="DL1" s="135" t="s">
        <v>522</v>
      </c>
      <c r="DM1" s="135" t="s">
        <v>522</v>
      </c>
      <c r="DN1" s="135" t="s">
        <v>522</v>
      </c>
      <c r="DO1" s="135" t="s">
        <v>522</v>
      </c>
      <c r="DP1" s="135" t="s">
        <v>522</v>
      </c>
      <c r="DQ1" s="135" t="s">
        <v>522</v>
      </c>
      <c r="DR1" s="135" t="s">
        <v>522</v>
      </c>
      <c r="DS1" s="135" t="s">
        <v>522</v>
      </c>
      <c r="DT1" s="135" t="s">
        <v>522</v>
      </c>
      <c r="DU1" s="135" t="s">
        <v>522</v>
      </c>
      <c r="DV1" s="135" t="s">
        <v>522</v>
      </c>
      <c r="DW1" s="135" t="s">
        <v>522</v>
      </c>
      <c r="DX1" s="135" t="s">
        <v>522</v>
      </c>
      <c r="DY1" s="135" t="s">
        <v>522</v>
      </c>
      <c r="DZ1" s="135" t="s">
        <v>522</v>
      </c>
      <c r="EA1" s="135" t="s">
        <v>522</v>
      </c>
      <c r="EB1" s="135" t="s">
        <v>522</v>
      </c>
      <c r="EC1" s="135" t="s">
        <v>522</v>
      </c>
      <c r="ED1" s="135" t="s">
        <v>522</v>
      </c>
      <c r="EE1" s="135" t="s">
        <v>522</v>
      </c>
      <c r="EF1" s="135" t="s">
        <v>522</v>
      </c>
      <c r="EG1" s="135" t="s">
        <v>522</v>
      </c>
      <c r="EH1" s="135" t="s">
        <v>522</v>
      </c>
      <c r="EI1" s="135" t="s">
        <v>522</v>
      </c>
      <c r="EJ1" s="135" t="s">
        <v>522</v>
      </c>
      <c r="EK1" s="135" t="s">
        <v>522</v>
      </c>
      <c r="EL1" s="135" t="s">
        <v>522</v>
      </c>
      <c r="EM1" s="135" t="s">
        <v>522</v>
      </c>
      <c r="EN1" s="135" t="s">
        <v>522</v>
      </c>
      <c r="EO1" s="135" t="s">
        <v>522</v>
      </c>
      <c r="EP1" s="135" t="s">
        <v>522</v>
      </c>
      <c r="EQ1" s="135" t="s">
        <v>522</v>
      </c>
      <c r="ER1" s="135" t="s">
        <v>522</v>
      </c>
      <c r="ES1" s="135" t="s">
        <v>522</v>
      </c>
      <c r="ET1" s="135" t="s">
        <v>522</v>
      </c>
      <c r="EU1" s="135" t="s">
        <v>522</v>
      </c>
      <c r="EV1" s="135" t="s">
        <v>522</v>
      </c>
      <c r="EW1" s="135" t="s">
        <v>522</v>
      </c>
      <c r="EX1" s="135" t="s">
        <v>522</v>
      </c>
      <c r="EY1" s="135" t="s">
        <v>522</v>
      </c>
      <c r="EZ1" s="135" t="s">
        <v>522</v>
      </c>
      <c r="FA1" s="135" t="s">
        <v>522</v>
      </c>
      <c r="FB1" s="135" t="s">
        <v>522</v>
      </c>
      <c r="FC1" s="135" t="s">
        <v>522</v>
      </c>
      <c r="FD1" s="135" t="s">
        <v>522</v>
      </c>
      <c r="FE1" s="135" t="s">
        <v>522</v>
      </c>
      <c r="FF1" s="135" t="s">
        <v>522</v>
      </c>
      <c r="FG1" s="135" t="s">
        <v>522</v>
      </c>
      <c r="FH1" s="135" t="s">
        <v>522</v>
      </c>
      <c r="FI1" s="135" t="s">
        <v>522</v>
      </c>
      <c r="FJ1" s="135" t="s">
        <v>522</v>
      </c>
      <c r="FK1" s="135" t="s">
        <v>522</v>
      </c>
      <c r="FL1" s="135" t="s">
        <v>522</v>
      </c>
      <c r="FM1" s="135" t="s">
        <v>522</v>
      </c>
      <c r="FN1" s="135" t="s">
        <v>522</v>
      </c>
      <c r="FO1" s="135" t="s">
        <v>522</v>
      </c>
      <c r="FP1" s="135" t="s">
        <v>522</v>
      </c>
      <c r="FQ1" s="135" t="s">
        <v>522</v>
      </c>
      <c r="FR1" s="135" t="s">
        <v>522</v>
      </c>
      <c r="FS1" s="135" t="s">
        <v>522</v>
      </c>
      <c r="FT1" s="135" t="s">
        <v>522</v>
      </c>
      <c r="FU1" s="135" t="s">
        <v>522</v>
      </c>
      <c r="FV1" s="135" t="s">
        <v>522</v>
      </c>
      <c r="FW1" s="135" t="s">
        <v>522</v>
      </c>
      <c r="FX1" s="135" t="s">
        <v>522</v>
      </c>
      <c r="FY1" s="135" t="s">
        <v>522</v>
      </c>
      <c r="FZ1" s="135" t="s">
        <v>522</v>
      </c>
      <c r="GA1" s="135" t="s">
        <v>522</v>
      </c>
      <c r="GB1" s="135" t="s">
        <v>522</v>
      </c>
      <c r="GC1" s="135" t="s">
        <v>522</v>
      </c>
      <c r="GD1" s="135" t="s">
        <v>522</v>
      </c>
      <c r="GE1" s="135" t="s">
        <v>522</v>
      </c>
      <c r="GF1" s="135" t="s">
        <v>522</v>
      </c>
      <c r="GG1" s="135" t="s">
        <v>522</v>
      </c>
      <c r="GH1" s="135" t="s">
        <v>522</v>
      </c>
      <c r="GI1" s="135" t="s">
        <v>522</v>
      </c>
      <c r="GJ1" s="135" t="s">
        <v>522</v>
      </c>
      <c r="GK1" s="135" t="s">
        <v>522</v>
      </c>
      <c r="GL1" s="135" t="s">
        <v>522</v>
      </c>
      <c r="GM1" s="135" t="s">
        <v>522</v>
      </c>
      <c r="GN1" s="135" t="s">
        <v>522</v>
      </c>
      <c r="GO1" s="135" t="s">
        <v>522</v>
      </c>
      <c r="GP1" s="135" t="s">
        <v>522</v>
      </c>
      <c r="GQ1" s="135" t="s">
        <v>522</v>
      </c>
      <c r="GR1" s="135" t="s">
        <v>522</v>
      </c>
      <c r="GS1" s="135" t="s">
        <v>522</v>
      </c>
      <c r="GT1" s="135" t="s">
        <v>522</v>
      </c>
      <c r="GU1" s="135" t="s">
        <v>522</v>
      </c>
      <c r="GV1" s="135" t="s">
        <v>522</v>
      </c>
      <c r="GW1" s="135" t="s">
        <v>522</v>
      </c>
      <c r="GX1" s="135" t="s">
        <v>522</v>
      </c>
      <c r="GY1" s="135" t="s">
        <v>522</v>
      </c>
      <c r="GZ1" s="135" t="s">
        <v>522</v>
      </c>
      <c r="HA1" s="135" t="s">
        <v>522</v>
      </c>
      <c r="HB1" s="135" t="s">
        <v>522</v>
      </c>
      <c r="HC1" s="135" t="s">
        <v>522</v>
      </c>
      <c r="HD1" s="135" t="s">
        <v>522</v>
      </c>
      <c r="HE1" s="135" t="s">
        <v>522</v>
      </c>
      <c r="HF1" s="135" t="s">
        <v>522</v>
      </c>
      <c r="HG1" s="135" t="s">
        <v>522</v>
      </c>
      <c r="HH1" s="135" t="s">
        <v>522</v>
      </c>
      <c r="HI1" s="135" t="s">
        <v>522</v>
      </c>
      <c r="HJ1" s="135" t="s">
        <v>522</v>
      </c>
      <c r="HK1" s="135" t="s">
        <v>522</v>
      </c>
      <c r="HL1" s="135" t="s">
        <v>522</v>
      </c>
      <c r="HM1" s="135" t="s">
        <v>522</v>
      </c>
      <c r="HN1" s="135" t="s">
        <v>522</v>
      </c>
      <c r="HO1" s="135" t="s">
        <v>522</v>
      </c>
      <c r="HP1" s="135" t="s">
        <v>522</v>
      </c>
      <c r="HQ1" s="135" t="s">
        <v>522</v>
      </c>
      <c r="HR1" s="135" t="s">
        <v>522</v>
      </c>
      <c r="HS1" s="135" t="s">
        <v>522</v>
      </c>
      <c r="HT1" s="135" t="s">
        <v>522</v>
      </c>
      <c r="HU1" s="135" t="s">
        <v>522</v>
      </c>
      <c r="HV1" s="135" t="s">
        <v>522</v>
      </c>
      <c r="HW1" s="135" t="s">
        <v>522</v>
      </c>
      <c r="HX1" s="135" t="s">
        <v>522</v>
      </c>
      <c r="HY1" s="135" t="s">
        <v>522</v>
      </c>
      <c r="HZ1" s="135" t="s">
        <v>522</v>
      </c>
      <c r="IA1" s="135" t="s">
        <v>522</v>
      </c>
      <c r="IB1" s="135" t="s">
        <v>522</v>
      </c>
      <c r="IC1" s="135" t="s">
        <v>522</v>
      </c>
      <c r="ID1" s="135" t="s">
        <v>522</v>
      </c>
      <c r="IE1" s="135" t="s">
        <v>522</v>
      </c>
      <c r="IF1" s="135" t="s">
        <v>522</v>
      </c>
      <c r="IG1" s="135" t="s">
        <v>522</v>
      </c>
      <c r="IH1" s="135" t="s">
        <v>522</v>
      </c>
      <c r="II1" s="135" t="s">
        <v>522</v>
      </c>
      <c r="IJ1" s="135" t="s">
        <v>522</v>
      </c>
      <c r="IK1" s="135" t="s">
        <v>522</v>
      </c>
      <c r="IL1" s="135" t="s">
        <v>522</v>
      </c>
      <c r="IM1" s="135" t="s">
        <v>522</v>
      </c>
      <c r="IN1" s="135" t="s">
        <v>522</v>
      </c>
      <c r="IO1" s="135" t="s">
        <v>522</v>
      </c>
      <c r="IP1" s="135" t="s">
        <v>522</v>
      </c>
      <c r="IQ1" s="135" t="s">
        <v>522</v>
      </c>
      <c r="IR1" s="135" t="s">
        <v>522</v>
      </c>
      <c r="IS1" s="135" t="s">
        <v>522</v>
      </c>
      <c r="IT1" s="135" t="s">
        <v>522</v>
      </c>
      <c r="IU1" s="135" t="s">
        <v>522</v>
      </c>
      <c r="IV1" s="135" t="s">
        <v>522</v>
      </c>
    </row>
    <row r="2" spans="1:256" s="158" customFormat="1" ht="20.25" customHeight="1">
      <c r="A2" s="135" t="str">
        <f>'Sources and Use'!A2</f>
        <v>Site:</v>
      </c>
      <c r="B2" s="156"/>
      <c r="C2" s="135"/>
      <c r="D2" s="135"/>
      <c r="E2" s="135"/>
      <c r="F2" s="135"/>
      <c r="G2" s="135"/>
      <c r="H2" s="135"/>
      <c r="I2" s="135"/>
    </row>
    <row r="3" spans="1:256" ht="36.75" customHeight="1">
      <c r="A3" s="678" t="s">
        <v>421</v>
      </c>
      <c r="B3" s="678"/>
      <c r="C3" s="679"/>
      <c r="D3" s="679"/>
      <c r="E3" s="679"/>
      <c r="F3" s="679"/>
      <c r="G3" s="679"/>
      <c r="H3" s="679"/>
      <c r="I3" s="679"/>
    </row>
    <row r="4" spans="1:256" ht="7.5" customHeight="1">
      <c r="A4" s="626"/>
      <c r="B4" s="626"/>
      <c r="C4" s="543"/>
      <c r="D4" s="543"/>
      <c r="E4" s="543"/>
      <c r="F4" s="543"/>
      <c r="G4" s="543"/>
      <c r="H4" s="543"/>
      <c r="I4" s="543"/>
    </row>
    <row r="5" spans="1:256" ht="20.25" customHeight="1">
      <c r="C5" s="142" t="s">
        <v>423</v>
      </c>
      <c r="D5" s="142"/>
      <c r="E5" s="142" t="s">
        <v>424</v>
      </c>
      <c r="F5" s="142"/>
      <c r="G5" s="142" t="s">
        <v>425</v>
      </c>
      <c r="H5" s="143"/>
      <c r="I5" s="144" t="s">
        <v>426</v>
      </c>
    </row>
    <row r="6" spans="1:256" ht="18" customHeight="1">
      <c r="A6" s="145" t="s">
        <v>523</v>
      </c>
      <c r="B6" s="146"/>
      <c r="C6" s="540" t="s">
        <v>428</v>
      </c>
      <c r="D6" s="139"/>
      <c r="E6" s="540" t="s">
        <v>428</v>
      </c>
      <c r="F6" s="139"/>
      <c r="G6" s="540" t="s">
        <v>428</v>
      </c>
      <c r="H6" s="139"/>
      <c r="I6" s="541" t="s">
        <v>429</v>
      </c>
    </row>
    <row r="7" spans="1:256" ht="18" customHeight="1">
      <c r="A7" s="697" t="s">
        <v>524</v>
      </c>
      <c r="B7" s="697"/>
      <c r="C7" s="149"/>
      <c r="D7" s="132"/>
      <c r="E7" s="149"/>
      <c r="F7" s="132"/>
      <c r="G7" s="149"/>
      <c r="H7" s="132"/>
      <c r="I7" s="542">
        <f>SUM(C7:G7)</f>
        <v>0</v>
      </c>
    </row>
    <row r="8" spans="1:256" ht="18" customHeight="1">
      <c r="A8" s="697" t="s">
        <v>525</v>
      </c>
      <c r="B8" s="697"/>
      <c r="C8" s="149"/>
      <c r="D8" s="132"/>
      <c r="E8" s="149"/>
      <c r="F8" s="132"/>
      <c r="G8" s="149"/>
      <c r="H8" s="132"/>
      <c r="I8" s="542">
        <f>SUM(C8:G8)</f>
        <v>0</v>
      </c>
    </row>
    <row r="9" spans="1:256" ht="18" customHeight="1">
      <c r="A9" s="697" t="s">
        <v>526</v>
      </c>
      <c r="B9" s="697"/>
      <c r="C9" s="149"/>
      <c r="D9" s="132"/>
      <c r="E9" s="149"/>
      <c r="F9" s="132"/>
      <c r="G9" s="149"/>
      <c r="H9" s="132"/>
      <c r="I9" s="542">
        <f>SUM(C9:G9)</f>
        <v>0</v>
      </c>
    </row>
    <row r="10" spans="1:256" ht="18" customHeight="1">
      <c r="A10" s="697" t="s">
        <v>527</v>
      </c>
      <c r="B10" s="697"/>
      <c r="C10" s="149"/>
      <c r="D10" s="132"/>
      <c r="E10" s="149"/>
      <c r="F10" s="132"/>
      <c r="G10" s="149"/>
      <c r="H10" s="132"/>
      <c r="I10" s="542">
        <f>SUM(C10:G10)</f>
        <v>0</v>
      </c>
    </row>
    <row r="11" spans="1:256" ht="20.25" customHeight="1">
      <c r="A11" s="133" t="s">
        <v>523</v>
      </c>
      <c r="C11" s="150">
        <f>SUM(C7:C10)</f>
        <v>0</v>
      </c>
      <c r="D11" s="151"/>
      <c r="E11" s="150">
        <f>SUM(E7:E10)</f>
        <v>0</v>
      </c>
      <c r="F11" s="151"/>
      <c r="G11" s="150">
        <f>SUM(G7:G10)</f>
        <v>0</v>
      </c>
      <c r="H11" s="151"/>
      <c r="I11" s="150">
        <f>SUM(I7:I10)</f>
        <v>0</v>
      </c>
    </row>
    <row r="12" spans="1:256" ht="16.5" customHeight="1">
      <c r="C12" s="132"/>
      <c r="D12" s="132"/>
      <c r="E12" s="132"/>
      <c r="F12" s="132"/>
      <c r="G12" s="132"/>
      <c r="H12" s="132"/>
      <c r="I12" s="151"/>
    </row>
    <row r="13" spans="1:256">
      <c r="A13" s="696" t="s">
        <v>528</v>
      </c>
      <c r="B13" s="696"/>
      <c r="C13" s="132"/>
      <c r="D13" s="132"/>
      <c r="E13" s="132"/>
      <c r="F13" s="132"/>
      <c r="G13" s="132"/>
      <c r="H13" s="132"/>
      <c r="I13" s="151"/>
    </row>
    <row r="14" spans="1:256" ht="18" customHeight="1">
      <c r="A14" s="135" t="s">
        <v>529</v>
      </c>
      <c r="B14" s="136" t="s">
        <v>530</v>
      </c>
      <c r="C14" s="152"/>
      <c r="D14" s="132"/>
      <c r="E14" s="152"/>
      <c r="F14" s="132"/>
      <c r="G14" s="152"/>
      <c r="H14" s="132"/>
      <c r="I14" s="151"/>
    </row>
    <row r="15" spans="1:256" ht="18" customHeight="1">
      <c r="A15" s="543" t="s">
        <v>531</v>
      </c>
      <c r="B15" s="624"/>
      <c r="C15" s="544"/>
      <c r="D15" s="132"/>
      <c r="E15" s="544"/>
      <c r="F15" s="132"/>
      <c r="G15" s="544"/>
      <c r="H15" s="132"/>
      <c r="I15" s="542">
        <f>SUM(C15:G15)</f>
        <v>0</v>
      </c>
    </row>
    <row r="16" spans="1:256" ht="18" customHeight="1">
      <c r="A16" s="543" t="s">
        <v>532</v>
      </c>
      <c r="B16" s="624"/>
      <c r="C16" s="149"/>
      <c r="D16" s="132"/>
      <c r="E16" s="149"/>
      <c r="F16" s="132"/>
      <c r="G16" s="149"/>
      <c r="H16" s="132"/>
      <c r="I16" s="542">
        <f>SUM(C16:G16)</f>
        <v>0</v>
      </c>
    </row>
    <row r="17" spans="1:9" ht="18" customHeight="1">
      <c r="A17" s="543" t="s">
        <v>532</v>
      </c>
      <c r="B17" s="624"/>
      <c r="C17" s="149"/>
      <c r="D17" s="132"/>
      <c r="E17" s="149"/>
      <c r="F17" s="132"/>
      <c r="G17" s="149"/>
      <c r="H17" s="132"/>
      <c r="I17" s="542">
        <f>SUM(C17:G17)</f>
        <v>0</v>
      </c>
    </row>
    <row r="18" spans="1:9" ht="18" customHeight="1">
      <c r="A18" s="543" t="s">
        <v>532</v>
      </c>
      <c r="B18" s="624"/>
      <c r="C18" s="149"/>
      <c r="D18" s="132"/>
      <c r="E18" s="149"/>
      <c r="F18" s="132"/>
      <c r="G18" s="149"/>
      <c r="H18" s="132"/>
      <c r="I18" s="542">
        <f>SUM(C18:G18)</f>
        <v>0</v>
      </c>
    </row>
    <row r="19" spans="1:9" ht="18" customHeight="1">
      <c r="A19" s="543" t="s">
        <v>532</v>
      </c>
      <c r="B19" s="624"/>
      <c r="C19" s="149"/>
      <c r="D19" s="132"/>
      <c r="E19" s="149"/>
      <c r="F19" s="132"/>
      <c r="G19" s="149"/>
      <c r="H19" s="132"/>
      <c r="I19" s="542">
        <f>SUM(C19:G19)</f>
        <v>0</v>
      </c>
    </row>
    <row r="20" spans="1:9" ht="18" customHeight="1">
      <c r="A20" s="695" t="s">
        <v>533</v>
      </c>
      <c r="B20" s="695"/>
      <c r="C20" s="150">
        <f>SUM(C15:C19)</f>
        <v>0</v>
      </c>
      <c r="D20" s="150"/>
      <c r="E20" s="150">
        <f>SUM(E15:E19)</f>
        <v>0</v>
      </c>
      <c r="F20" s="150"/>
      <c r="G20" s="150">
        <f>SUM(G15:G19)</f>
        <v>0</v>
      </c>
      <c r="H20" s="150"/>
      <c r="I20" s="150">
        <f>SUM(I15:I19)</f>
        <v>0</v>
      </c>
    </row>
    <row r="21" spans="1:9" ht="18" customHeight="1">
      <c r="A21" s="695"/>
      <c r="B21" s="695"/>
    </row>
    <row r="22" spans="1:9" ht="18" customHeight="1">
      <c r="A22" s="135" t="s">
        <v>534</v>
      </c>
      <c r="B22" s="136" t="s">
        <v>530</v>
      </c>
    </row>
    <row r="23" spans="1:9" ht="18" customHeight="1">
      <c r="A23" s="543" t="s">
        <v>535</v>
      </c>
      <c r="B23" s="624"/>
      <c r="C23" s="544"/>
      <c r="D23" s="132"/>
      <c r="E23" s="544"/>
      <c r="F23" s="132"/>
      <c r="G23" s="544"/>
      <c r="I23" s="542">
        <f t="shared" ref="I23:I28" si="0">SUM(C23:G23)</f>
        <v>0</v>
      </c>
    </row>
    <row r="24" spans="1:9" ht="18" customHeight="1">
      <c r="A24" s="543" t="s">
        <v>536</v>
      </c>
      <c r="B24" s="624"/>
      <c r="C24" s="544"/>
      <c r="D24" s="132"/>
      <c r="E24" s="544"/>
      <c r="F24" s="132"/>
      <c r="G24" s="544"/>
      <c r="H24" s="132"/>
      <c r="I24" s="542">
        <f t="shared" si="0"/>
        <v>0</v>
      </c>
    </row>
    <row r="25" spans="1:9" ht="18" customHeight="1">
      <c r="A25" s="543" t="s">
        <v>536</v>
      </c>
      <c r="B25" s="624"/>
      <c r="C25" s="544"/>
      <c r="D25" s="132"/>
      <c r="E25" s="544"/>
      <c r="F25" s="132"/>
      <c r="G25" s="544"/>
      <c r="H25" s="132"/>
      <c r="I25" s="542">
        <f t="shared" si="0"/>
        <v>0</v>
      </c>
    </row>
    <row r="26" spans="1:9" ht="18" customHeight="1">
      <c r="A26" s="543" t="s">
        <v>532</v>
      </c>
      <c r="B26" s="624"/>
      <c r="C26" s="544"/>
      <c r="D26" s="132"/>
      <c r="E26" s="544"/>
      <c r="F26" s="132"/>
      <c r="G26" s="544"/>
      <c r="H26" s="132"/>
      <c r="I26" s="542">
        <f t="shared" si="0"/>
        <v>0</v>
      </c>
    </row>
    <row r="27" spans="1:9" ht="18" customHeight="1">
      <c r="A27" s="543" t="s">
        <v>532</v>
      </c>
      <c r="B27" s="624"/>
      <c r="C27" s="544"/>
      <c r="D27" s="132"/>
      <c r="E27" s="544"/>
      <c r="F27" s="132"/>
      <c r="G27" s="544"/>
      <c r="H27" s="132"/>
      <c r="I27" s="542">
        <f t="shared" si="0"/>
        <v>0</v>
      </c>
    </row>
    <row r="28" spans="1:9" ht="18" customHeight="1">
      <c r="A28" s="695" t="s">
        <v>537</v>
      </c>
      <c r="B28" s="695"/>
      <c r="C28" s="150">
        <f>SUM(C23:C27)</f>
        <v>0</v>
      </c>
      <c r="D28" s="150"/>
      <c r="E28" s="150">
        <f>SUM(E23:E27)</f>
        <v>0</v>
      </c>
      <c r="F28" s="150"/>
      <c r="G28" s="150">
        <f>SUM(G23:G27)</f>
        <v>0</v>
      </c>
      <c r="H28" s="132"/>
      <c r="I28" s="542">
        <f t="shared" si="0"/>
        <v>0</v>
      </c>
    </row>
    <row r="29" spans="1:9" ht="18" customHeight="1">
      <c r="A29" s="695"/>
      <c r="B29" s="695"/>
      <c r="C29" s="132"/>
      <c r="D29" s="132"/>
      <c r="E29" s="132"/>
      <c r="F29" s="132"/>
      <c r="G29" s="132"/>
      <c r="H29" s="132"/>
      <c r="I29" s="132"/>
    </row>
    <row r="30" spans="1:9" ht="18" customHeight="1">
      <c r="A30" s="695" t="s">
        <v>538</v>
      </c>
      <c r="B30" s="695"/>
      <c r="C30" s="545">
        <f>C20+C28</f>
        <v>0</v>
      </c>
      <c r="D30" s="151"/>
      <c r="E30" s="545">
        <f>E20+E28</f>
        <v>0</v>
      </c>
      <c r="F30" s="151"/>
      <c r="G30" s="545">
        <f>G20+G28</f>
        <v>0</v>
      </c>
      <c r="H30" s="135"/>
      <c r="I30" s="542">
        <f>I20+I28</f>
        <v>0</v>
      </c>
    </row>
    <row r="31" spans="1:9" ht="18" customHeight="1">
      <c r="A31" s="697"/>
      <c r="B31" s="697"/>
      <c r="C31" s="132"/>
      <c r="D31" s="132"/>
      <c r="E31" s="132"/>
      <c r="F31" s="132"/>
      <c r="G31" s="132"/>
      <c r="H31" s="132"/>
      <c r="I31" s="132"/>
    </row>
    <row r="32" spans="1:9" ht="18" customHeight="1">
      <c r="A32" s="696" t="s">
        <v>539</v>
      </c>
      <c r="B32" s="696"/>
      <c r="C32" s="132"/>
      <c r="D32" s="132"/>
      <c r="E32" s="132"/>
      <c r="F32" s="132"/>
      <c r="G32" s="132"/>
      <c r="H32" s="132"/>
      <c r="I32" s="132"/>
    </row>
    <row r="33" spans="1:9" ht="18" customHeight="1">
      <c r="A33" s="695" t="s">
        <v>540</v>
      </c>
      <c r="B33" s="695"/>
      <c r="C33" s="544"/>
      <c r="D33" s="132"/>
      <c r="E33" s="544"/>
      <c r="F33" s="132"/>
      <c r="G33" s="544"/>
      <c r="H33" s="132"/>
      <c r="I33" s="542">
        <f>SUM(C33:G33)</f>
        <v>0</v>
      </c>
    </row>
    <row r="34" spans="1:9" ht="18" customHeight="1">
      <c r="A34" s="135" t="s">
        <v>529</v>
      </c>
      <c r="B34" s="136" t="s">
        <v>530</v>
      </c>
      <c r="C34" s="152"/>
      <c r="D34" s="132"/>
      <c r="E34" s="152"/>
      <c r="F34" s="132"/>
      <c r="G34" s="152"/>
      <c r="H34" s="132"/>
      <c r="I34" s="151"/>
    </row>
    <row r="35" spans="1:9" ht="18" customHeight="1">
      <c r="A35" s="543" t="s">
        <v>531</v>
      </c>
      <c r="B35" s="624"/>
      <c r="C35" s="544"/>
      <c r="D35" s="132"/>
      <c r="E35" s="544"/>
      <c r="F35" s="132"/>
      <c r="G35" s="544"/>
      <c r="H35" s="132"/>
      <c r="I35" s="542">
        <f>SUM(C35:G35)</f>
        <v>0</v>
      </c>
    </row>
    <row r="36" spans="1:9" ht="18" customHeight="1">
      <c r="A36" s="543" t="s">
        <v>532</v>
      </c>
      <c r="B36" s="624"/>
      <c r="C36" s="149"/>
      <c r="D36" s="132"/>
      <c r="E36" s="149"/>
      <c r="F36" s="132"/>
      <c r="G36" s="149"/>
      <c r="H36" s="132"/>
      <c r="I36" s="542">
        <f>SUM(C36:G36)</f>
        <v>0</v>
      </c>
    </row>
    <row r="37" spans="1:9" ht="18" customHeight="1">
      <c r="A37" s="543" t="s">
        <v>532</v>
      </c>
      <c r="B37" s="624"/>
      <c r="C37" s="149"/>
      <c r="D37" s="132"/>
      <c r="E37" s="149"/>
      <c r="F37" s="132"/>
      <c r="G37" s="149"/>
      <c r="H37" s="132"/>
      <c r="I37" s="542">
        <f>SUM(C37:G37)</f>
        <v>0</v>
      </c>
    </row>
    <row r="38" spans="1:9" ht="18" customHeight="1">
      <c r="A38" s="543" t="s">
        <v>532</v>
      </c>
      <c r="B38" s="624"/>
      <c r="C38" s="149"/>
      <c r="D38" s="132"/>
      <c r="E38" s="149"/>
      <c r="F38" s="132"/>
      <c r="G38" s="149"/>
      <c r="H38" s="132"/>
      <c r="I38" s="542">
        <f>SUM(C38:G38)</f>
        <v>0</v>
      </c>
    </row>
    <row r="39" spans="1:9" ht="18" customHeight="1">
      <c r="A39" s="543" t="s">
        <v>532</v>
      </c>
      <c r="B39" s="624"/>
      <c r="C39" s="149"/>
      <c r="D39" s="132"/>
      <c r="E39" s="149"/>
      <c r="F39" s="132"/>
      <c r="G39" s="149"/>
      <c r="H39" s="132"/>
      <c r="I39" s="542">
        <f>SUM(C39:G39)</f>
        <v>0</v>
      </c>
    </row>
    <row r="40" spans="1:9" ht="18" customHeight="1">
      <c r="A40" s="695" t="s">
        <v>533</v>
      </c>
      <c r="B40" s="695"/>
      <c r="C40" s="150">
        <f>SUM(C33:C39)</f>
        <v>0</v>
      </c>
      <c r="D40" s="151"/>
      <c r="E40" s="150">
        <f>SUM(E33:E39)</f>
        <v>0</v>
      </c>
      <c r="F40" s="151"/>
      <c r="G40" s="150">
        <f>SUM(G33:G39)</f>
        <v>0</v>
      </c>
      <c r="H40" s="151"/>
      <c r="I40" s="150">
        <f>SUM(I33:I39)</f>
        <v>0</v>
      </c>
    </row>
    <row r="41" spans="1:9" ht="18" customHeight="1">
      <c r="A41" s="695"/>
      <c r="B41" s="695"/>
    </row>
    <row r="42" spans="1:9" ht="18" customHeight="1">
      <c r="A42" s="135" t="s">
        <v>534</v>
      </c>
      <c r="B42" s="136" t="s">
        <v>530</v>
      </c>
    </row>
    <row r="43" spans="1:9" ht="18" customHeight="1">
      <c r="A43" s="543" t="s">
        <v>541</v>
      </c>
      <c r="B43" s="624"/>
      <c r="C43" s="544"/>
      <c r="D43" s="132"/>
      <c r="E43" s="544"/>
      <c r="F43" s="132"/>
      <c r="G43" s="544"/>
      <c r="I43" s="545">
        <f t="shared" ref="I43:I48" si="1">SUM(C43:G43)</f>
        <v>0</v>
      </c>
    </row>
    <row r="44" spans="1:9" ht="18" customHeight="1">
      <c r="A44" s="543" t="s">
        <v>542</v>
      </c>
      <c r="B44" s="624"/>
      <c r="C44" s="544"/>
      <c r="D44" s="132"/>
      <c r="E44" s="544"/>
      <c r="F44" s="132"/>
      <c r="G44" s="544"/>
      <c r="I44" s="545">
        <f t="shared" si="1"/>
        <v>0</v>
      </c>
    </row>
    <row r="45" spans="1:9" ht="18" customHeight="1">
      <c r="A45" s="543" t="s">
        <v>536</v>
      </c>
      <c r="B45" s="624"/>
      <c r="C45" s="544"/>
      <c r="D45" s="132"/>
      <c r="E45" s="544"/>
      <c r="F45" s="132"/>
      <c r="G45" s="544"/>
      <c r="H45" s="153"/>
      <c r="I45" s="545">
        <f t="shared" si="1"/>
        <v>0</v>
      </c>
    </row>
    <row r="46" spans="1:9" ht="18" customHeight="1">
      <c r="A46" s="543" t="s">
        <v>532</v>
      </c>
      <c r="B46" s="624"/>
      <c r="C46" s="544"/>
      <c r="D46" s="132"/>
      <c r="E46" s="544"/>
      <c r="F46" s="132"/>
      <c r="G46" s="544"/>
      <c r="H46" s="153"/>
      <c r="I46" s="545">
        <f t="shared" si="1"/>
        <v>0</v>
      </c>
    </row>
    <row r="47" spans="1:9" ht="18" customHeight="1">
      <c r="A47" s="543" t="s">
        <v>532</v>
      </c>
      <c r="B47" s="624"/>
      <c r="C47" s="544"/>
      <c r="D47" s="132"/>
      <c r="E47" s="544"/>
      <c r="F47" s="132"/>
      <c r="G47" s="544"/>
      <c r="I47" s="545">
        <f t="shared" si="1"/>
        <v>0</v>
      </c>
    </row>
    <row r="48" spans="1:9" ht="18" customHeight="1">
      <c r="A48" s="694" t="s">
        <v>537</v>
      </c>
      <c r="B48" s="694"/>
      <c r="C48" s="545">
        <f>SUM(C43:C47)</f>
        <v>0</v>
      </c>
      <c r="D48" s="151"/>
      <c r="E48" s="545">
        <f>SUM(E43:E47)</f>
        <v>0</v>
      </c>
      <c r="F48" s="151"/>
      <c r="G48" s="545">
        <f>SUM(G43:G47)</f>
        <v>0</v>
      </c>
      <c r="H48" s="135"/>
      <c r="I48" s="545">
        <f t="shared" si="1"/>
        <v>0</v>
      </c>
    </row>
    <row r="49" spans="1:9" ht="18" customHeight="1">
      <c r="A49" s="154"/>
      <c r="B49" s="154"/>
    </row>
    <row r="50" spans="1:9" ht="18" customHeight="1">
      <c r="A50" s="694" t="s">
        <v>543</v>
      </c>
      <c r="B50" s="694"/>
      <c r="C50" s="542">
        <f>C33+C40+C48</f>
        <v>0</v>
      </c>
      <c r="D50" s="151"/>
      <c r="E50" s="542">
        <f>E33+E40+E48</f>
        <v>0</v>
      </c>
      <c r="F50" s="151"/>
      <c r="G50" s="542">
        <f>G33+G40+G48</f>
        <v>0</v>
      </c>
      <c r="H50" s="135"/>
      <c r="I50" s="542">
        <f>C50+E50+G50</f>
        <v>0</v>
      </c>
    </row>
    <row r="51" spans="1:9" ht="18" customHeight="1"/>
    <row r="52" spans="1:9" ht="18" customHeight="1">
      <c r="A52" s="694" t="s">
        <v>544</v>
      </c>
      <c r="B52" s="694"/>
      <c r="C52" s="546"/>
      <c r="E52" s="546"/>
      <c r="G52" s="546"/>
      <c r="H52" s="153"/>
      <c r="I52" s="547">
        <f>SUM(C52:G52)</f>
        <v>0</v>
      </c>
    </row>
    <row r="53" spans="1:9" ht="18" customHeight="1">
      <c r="A53" s="694" t="s">
        <v>545</v>
      </c>
      <c r="B53" s="694"/>
      <c r="C53" s="546"/>
      <c r="E53" s="546"/>
      <c r="G53" s="546"/>
      <c r="H53" s="153"/>
      <c r="I53" s="547">
        <f>SUM(C53:G53)</f>
        <v>0</v>
      </c>
    </row>
    <row r="54" spans="1:9" ht="18" customHeight="1">
      <c r="A54" s="627"/>
      <c r="B54" s="627"/>
      <c r="C54" s="546"/>
      <c r="E54" s="546"/>
      <c r="G54" s="546"/>
      <c r="H54" s="153"/>
      <c r="I54" s="547"/>
    </row>
  </sheetData>
  <mergeCells count="20">
    <mergeCell ref="A3:I3"/>
    <mergeCell ref="A13:B13"/>
    <mergeCell ref="A20:B20"/>
    <mergeCell ref="A33:B33"/>
    <mergeCell ref="A31:B31"/>
    <mergeCell ref="A29:B29"/>
    <mergeCell ref="A21:B21"/>
    <mergeCell ref="A28:B28"/>
    <mergeCell ref="A30:B30"/>
    <mergeCell ref="A32:B32"/>
    <mergeCell ref="A7:B7"/>
    <mergeCell ref="A8:B8"/>
    <mergeCell ref="A9:B9"/>
    <mergeCell ref="A10:B10"/>
    <mergeCell ref="A53:B53"/>
    <mergeCell ref="A52:B52"/>
    <mergeCell ref="A50:B50"/>
    <mergeCell ref="A48:B48"/>
    <mergeCell ref="A40:B40"/>
    <mergeCell ref="A41:B41"/>
  </mergeCells>
  <phoneticPr fontId="29" type="noConversion"/>
  <printOptions horizontalCentered="1"/>
  <pageMargins left="0.5" right="0.5" top="0.5" bottom="0.5" header="0.5" footer="0.5"/>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H44"/>
  <sheetViews>
    <sheetView defaultGridColor="0" colorId="22" zoomScale="75" zoomScaleNormal="75" zoomScaleSheetLayoutView="75" workbookViewId="0">
      <selection activeCell="D2" sqref="D2"/>
    </sheetView>
  </sheetViews>
  <sheetFormatPr baseColWidth="10" defaultColWidth="9.7109375" defaultRowHeight="16"/>
  <cols>
    <col min="1" max="1" width="41.5703125" style="25" customWidth="1"/>
    <col min="2" max="2" width="15.85546875" style="25" customWidth="1"/>
    <col min="3" max="3" width="14" style="25" customWidth="1"/>
    <col min="4" max="4" width="10.7109375" style="36" customWidth="1"/>
    <col min="5" max="16384" width="9.7109375" style="25"/>
  </cols>
  <sheetData>
    <row r="1" spans="1:8">
      <c r="A1" s="169" t="s">
        <v>5</v>
      </c>
      <c r="B1" s="111"/>
      <c r="C1" s="19"/>
      <c r="D1" s="647"/>
      <c r="E1" s="2"/>
      <c r="F1" s="2"/>
      <c r="G1" s="2"/>
      <c r="H1" s="2"/>
    </row>
    <row r="2" spans="1:8">
      <c r="A2" s="648" t="s">
        <v>6</v>
      </c>
      <c r="B2" s="2"/>
      <c r="C2" s="41" t="s">
        <v>7</v>
      </c>
      <c r="D2" s="338">
        <f>'Units &amp; Income'!C23</f>
        <v>0</v>
      </c>
      <c r="E2" s="2"/>
      <c r="F2" s="2"/>
      <c r="G2" s="2"/>
      <c r="H2" s="2"/>
    </row>
    <row r="3" spans="1:8" ht="23">
      <c r="A3" s="8"/>
      <c r="B3" s="111"/>
      <c r="C3" s="51"/>
      <c r="D3" s="35"/>
      <c r="E3" s="2"/>
      <c r="F3" s="2"/>
      <c r="G3" s="2"/>
      <c r="H3" s="2"/>
    </row>
    <row r="4" spans="1:8">
      <c r="A4" s="18" t="s">
        <v>8</v>
      </c>
      <c r="B4" s="2"/>
      <c r="C4" s="339"/>
      <c r="D4" s="29"/>
      <c r="E4" s="12"/>
      <c r="F4" s="51"/>
      <c r="G4" s="51"/>
      <c r="H4" s="2"/>
    </row>
    <row r="5" spans="1:8" ht="17" thickBot="1">
      <c r="A5" s="72"/>
      <c r="B5" s="105"/>
      <c r="C5" s="340"/>
      <c r="D5" s="73"/>
      <c r="E5" s="12"/>
      <c r="F5" s="12"/>
      <c r="G5" s="12"/>
      <c r="H5" s="2"/>
    </row>
    <row r="6" spans="1:8" ht="17" thickTop="1">
      <c r="A6" s="77" t="s">
        <v>9</v>
      </c>
      <c r="B6" s="2"/>
      <c r="C6" s="341" t="s">
        <v>10</v>
      </c>
      <c r="D6" s="78" t="s">
        <v>11</v>
      </c>
      <c r="E6" s="12"/>
      <c r="F6" s="12"/>
      <c r="G6" s="5"/>
      <c r="H6" s="2"/>
    </row>
    <row r="7" spans="1:8">
      <c r="A7" s="548" t="str">
        <f>'Devel. Bud'!A79</f>
        <v>First Mortgage (Lender:                                )</v>
      </c>
      <c r="B7" s="5">
        <f>'Devel. Bud'!D79</f>
        <v>0</v>
      </c>
      <c r="C7" s="342" t="e">
        <f>B7/'Units &amp; Income'!$C$23</f>
        <v>#DIV/0!</v>
      </c>
      <c r="D7" s="343" t="e">
        <f t="shared" ref="D7:D15" ca="1" si="0">B7/$B$17</f>
        <v>#DIV/0!</v>
      </c>
      <c r="E7" s="30" t="s">
        <v>12</v>
      </c>
      <c r="F7" s="12"/>
      <c r="G7" s="4"/>
      <c r="H7" s="2"/>
    </row>
    <row r="8" spans="1:8">
      <c r="A8" s="548" t="str">
        <f>'Devel. Bud'!A80</f>
        <v>Second Mortgage (Lender:                                )</v>
      </c>
      <c r="B8" s="5">
        <f>'Devel. Bud'!D80</f>
        <v>0</v>
      </c>
      <c r="C8" s="342" t="e">
        <f>B8/'Units &amp; Income'!$C$23</f>
        <v>#DIV/0!</v>
      </c>
      <c r="D8" s="343" t="e">
        <f t="shared" ca="1" si="0"/>
        <v>#DIV/0!</v>
      </c>
      <c r="E8" s="12"/>
      <c r="F8" s="12"/>
      <c r="G8" s="4"/>
      <c r="H8" s="2"/>
    </row>
    <row r="9" spans="1:8">
      <c r="A9" s="548" t="str">
        <f>'Devel. Bud'!A81</f>
        <v>Third Mortgage (Lender:                                )</v>
      </c>
      <c r="B9" s="5">
        <f>'Devel. Bud'!D81</f>
        <v>0</v>
      </c>
      <c r="C9" s="342" t="e">
        <f>B9/'Units &amp; Income'!$C$23</f>
        <v>#DIV/0!</v>
      </c>
      <c r="D9" s="343" t="e">
        <f t="shared" ca="1" si="0"/>
        <v>#DIV/0!</v>
      </c>
      <c r="E9" s="12"/>
      <c r="F9" s="12"/>
      <c r="G9" s="4"/>
      <c r="H9" s="2"/>
    </row>
    <row r="10" spans="1:8">
      <c r="A10" s="548" t="str">
        <f>'Devel. Bud'!A82</f>
        <v>Fourth Mortgage (Lender:                                )</v>
      </c>
      <c r="B10" s="5">
        <f ca="1">'Devel. Bud'!D82</f>
        <v>0</v>
      </c>
      <c r="C10" s="342" t="e">
        <f ca="1">B10/'Units &amp; Income'!$C$23</f>
        <v>#DIV/0!</v>
      </c>
      <c r="D10" s="343" t="e">
        <f t="shared" ca="1" si="0"/>
        <v>#DIV/0!</v>
      </c>
      <c r="E10" s="12"/>
      <c r="F10" s="12"/>
      <c r="G10" s="4"/>
      <c r="H10" s="2"/>
    </row>
    <row r="11" spans="1:8">
      <c r="A11" s="548" t="str">
        <f>'Devel. Bud'!A83</f>
        <v>Other source (Specify:                                )</v>
      </c>
      <c r="B11" s="5">
        <f>'Devel. Bud'!D83</f>
        <v>0</v>
      </c>
      <c r="C11" s="342" t="e">
        <f>B11/'Units &amp; Income'!$C$23</f>
        <v>#DIV/0!</v>
      </c>
      <c r="D11" s="343" t="e">
        <f t="shared" ca="1" si="0"/>
        <v>#DIV/0!</v>
      </c>
      <c r="E11" s="12"/>
      <c r="F11" s="12"/>
      <c r="G11" s="4"/>
      <c r="H11" s="2"/>
    </row>
    <row r="12" spans="1:8">
      <c r="A12" s="548" t="str">
        <f>'Devel. Bud'!A84</f>
        <v>Deferred Developer's Fee</v>
      </c>
      <c r="B12" s="5">
        <f>'Devel. Bud'!D84</f>
        <v>0</v>
      </c>
      <c r="C12" s="342" t="e">
        <f>B12/'Units &amp; Income'!$C$23</f>
        <v>#DIV/0!</v>
      </c>
      <c r="D12" s="343" t="e">
        <f t="shared" ca="1" si="0"/>
        <v>#DIV/0!</v>
      </c>
      <c r="E12" s="12"/>
      <c r="F12" s="12"/>
      <c r="G12" s="4"/>
      <c r="H12" s="2"/>
    </row>
    <row r="13" spans="1:8">
      <c r="A13" s="548" t="str">
        <f>'Devel. Bud'!A85</f>
        <v>Developer Equity</v>
      </c>
      <c r="B13" s="5">
        <f>'Devel. Bud'!D85</f>
        <v>0</v>
      </c>
      <c r="C13" s="342" t="e">
        <f>B13/'Units &amp; Income'!$C$23</f>
        <v>#DIV/0!</v>
      </c>
      <c r="D13" s="343" t="e">
        <f t="shared" ca="1" si="0"/>
        <v>#DIV/0!</v>
      </c>
      <c r="E13" s="12"/>
      <c r="F13" s="12"/>
      <c r="G13" s="4"/>
      <c r="H13" s="2"/>
    </row>
    <row r="14" spans="1:8">
      <c r="A14" s="548" t="str">
        <f>'Devel. Bud'!A86</f>
        <v>Other source (Specify:                                )</v>
      </c>
      <c r="B14" s="5">
        <f>'Devel. Bud'!D86</f>
        <v>0</v>
      </c>
      <c r="C14" s="342" t="e">
        <f>B14/'Units &amp; Income'!$C$23</f>
        <v>#DIV/0!</v>
      </c>
      <c r="D14" s="343" t="e">
        <f t="shared" ca="1" si="0"/>
        <v>#DIV/0!</v>
      </c>
      <c r="E14" s="12"/>
      <c r="F14" s="12"/>
      <c r="G14" s="4"/>
      <c r="H14" s="2"/>
    </row>
    <row r="15" spans="1:8">
      <c r="A15" s="548" t="str">
        <f>'Devel. Bud'!A87</f>
        <v>Gap/(Surplus)</v>
      </c>
      <c r="B15" s="5" t="e">
        <f ca="1">'Devel. Bud'!D87</f>
        <v>#DIV/0!</v>
      </c>
      <c r="C15" s="342" t="e">
        <f ca="1">B15/'Units &amp; Income'!$C$23</f>
        <v>#DIV/0!</v>
      </c>
      <c r="D15" s="343" t="e">
        <f t="shared" ca="1" si="0"/>
        <v>#DIV/0!</v>
      </c>
      <c r="E15" s="2"/>
      <c r="F15" s="9"/>
      <c r="G15" s="4"/>
      <c r="H15" s="31"/>
    </row>
    <row r="16" spans="1:8">
      <c r="A16" s="548"/>
      <c r="B16" s="5"/>
      <c r="C16" s="342"/>
      <c r="D16" s="343"/>
      <c r="E16" s="2"/>
      <c r="F16" s="9"/>
      <c r="G16" s="4"/>
      <c r="H16" s="31"/>
    </row>
    <row r="17" spans="1:8">
      <c r="A17" s="93" t="s">
        <v>13</v>
      </c>
      <c r="B17" s="345" t="e">
        <f ca="1">SUM(B7:B15)</f>
        <v>#DIV/0!</v>
      </c>
      <c r="C17" s="346" t="e">
        <f ca="1">B17/'Units &amp; Income'!$C$23</f>
        <v>#DIV/0!</v>
      </c>
      <c r="D17" s="76" t="e">
        <f ca="1">SUM(D7:D15)</f>
        <v>#DIV/0!</v>
      </c>
      <c r="E17" s="12"/>
      <c r="F17" s="32"/>
      <c r="G17" s="4"/>
      <c r="H17" s="2"/>
    </row>
    <row r="18" spans="1:8" ht="17" thickBot="1">
      <c r="A18" s="105"/>
      <c r="B18" s="105"/>
      <c r="C18" s="347"/>
      <c r="D18" s="74"/>
      <c r="E18" s="12"/>
      <c r="F18" s="12"/>
      <c r="G18" s="12"/>
      <c r="H18" s="2"/>
    </row>
    <row r="19" spans="1:8" ht="17" thickTop="1">
      <c r="A19" s="77" t="s">
        <v>14</v>
      </c>
      <c r="B19" s="2"/>
      <c r="C19" s="342"/>
      <c r="D19" s="75"/>
      <c r="E19" s="12"/>
      <c r="F19" s="12"/>
      <c r="G19" s="5"/>
      <c r="H19" s="2"/>
    </row>
    <row r="20" spans="1:8">
      <c r="A20" s="548" t="str">
        <f>'Devel. Bud'!A91</f>
        <v>First Mortgage (Lender:                                )</v>
      </c>
      <c r="B20" s="5" t="e">
        <f>'Devel. Bud'!D91</f>
        <v>#DIV/0!</v>
      </c>
      <c r="C20" s="342" t="e">
        <f>B20/'Units &amp; Income'!$C$23</f>
        <v>#DIV/0!</v>
      </c>
      <c r="D20" s="343" t="e">
        <f>B20/B30</f>
        <v>#DIV/0!</v>
      </c>
      <c r="E20" s="12"/>
      <c r="F20" s="12"/>
      <c r="G20" s="4"/>
      <c r="H20" s="2"/>
    </row>
    <row r="21" spans="1:8">
      <c r="A21" s="548" t="str">
        <f>'Devel. Bud'!A92</f>
        <v>Second Mortgage (Lender:                                )</v>
      </c>
      <c r="B21" s="5">
        <f>'Devel. Bud'!D92</f>
        <v>0</v>
      </c>
      <c r="C21" s="342" t="e">
        <f>B21/'Units &amp; Income'!$C$23</f>
        <v>#DIV/0!</v>
      </c>
      <c r="D21" s="343" t="e">
        <f t="shared" ref="D21:D28" si="1">B21/$B$30</f>
        <v>#DIV/0!</v>
      </c>
      <c r="E21" s="12"/>
      <c r="F21" s="12"/>
      <c r="G21" s="4"/>
      <c r="H21" s="2"/>
    </row>
    <row r="22" spans="1:8">
      <c r="A22" s="548" t="str">
        <f>'Devel. Bud'!A93</f>
        <v>Third Mortgage (Lender:                                )</v>
      </c>
      <c r="B22" s="5">
        <f>'Devel. Bud'!D93</f>
        <v>0</v>
      </c>
      <c r="C22" s="342" t="e">
        <f>B22/'Units &amp; Income'!$C$23</f>
        <v>#DIV/0!</v>
      </c>
      <c r="D22" s="343" t="e">
        <f t="shared" si="1"/>
        <v>#DIV/0!</v>
      </c>
      <c r="E22" s="12"/>
      <c r="F22" s="12"/>
      <c r="G22" s="4"/>
      <c r="H22" s="2"/>
    </row>
    <row r="23" spans="1:8">
      <c r="A23" s="548" t="str">
        <f>'Devel. Bud'!A94</f>
        <v>Fourth Mortgage (Lender:                                )</v>
      </c>
      <c r="B23" s="5">
        <f>'Devel. Bud'!D94</f>
        <v>0</v>
      </c>
      <c r="C23" s="342" t="e">
        <f>B23/'Units &amp; Income'!$C$23</f>
        <v>#DIV/0!</v>
      </c>
      <c r="D23" s="343" t="e">
        <f t="shared" si="1"/>
        <v>#DIV/0!</v>
      </c>
      <c r="E23" s="12"/>
      <c r="F23" s="12"/>
      <c r="G23" s="4"/>
      <c r="H23" s="2"/>
    </row>
    <row r="24" spans="1:8">
      <c r="A24" s="548" t="str">
        <f>'Devel. Bud'!A95</f>
        <v>Other source (Specify:                                )</v>
      </c>
      <c r="B24" s="5">
        <f ca="1">'Devel. Bud'!D95</f>
        <v>0</v>
      </c>
      <c r="C24" s="342" t="e">
        <f ca="1">B24/'Units &amp; Income'!$C$23</f>
        <v>#DIV/0!</v>
      </c>
      <c r="D24" s="343" t="e">
        <f t="shared" ca="1" si="1"/>
        <v>#DIV/0!</v>
      </c>
      <c r="E24" s="12"/>
      <c r="F24" s="12"/>
      <c r="G24" s="4"/>
      <c r="H24" s="2"/>
    </row>
    <row r="25" spans="1:8">
      <c r="A25" s="548" t="str">
        <f>'Devel. Bud'!A96</f>
        <v>Deferred Developer's Fee</v>
      </c>
      <c r="B25" s="5" t="e">
        <f>'Devel. Bud'!D96</f>
        <v>#DIV/0!</v>
      </c>
      <c r="C25" s="342" t="e">
        <f>B25/'Units &amp; Income'!$C$23</f>
        <v>#DIV/0!</v>
      </c>
      <c r="D25" s="343" t="e">
        <f t="shared" si="1"/>
        <v>#DIV/0!</v>
      </c>
      <c r="E25" s="12"/>
      <c r="F25" s="12"/>
      <c r="G25" s="4"/>
      <c r="H25" s="2"/>
    </row>
    <row r="26" spans="1:8">
      <c r="A26" s="548" t="str">
        <f>'Devel. Bud'!A97</f>
        <v>Developer Equity</v>
      </c>
      <c r="B26" s="5">
        <f>'Devel. Bud'!D97</f>
        <v>0</v>
      </c>
      <c r="C26" s="342" t="e">
        <f>B26/'Units &amp; Income'!$C$23</f>
        <v>#DIV/0!</v>
      </c>
      <c r="D26" s="343" t="e">
        <f t="shared" si="1"/>
        <v>#DIV/0!</v>
      </c>
      <c r="E26" s="12"/>
      <c r="F26" s="12"/>
      <c r="G26" s="4"/>
      <c r="H26" s="2"/>
    </row>
    <row r="27" spans="1:8">
      <c r="A27" s="548" t="str">
        <f>'Devel. Bud'!A98</f>
        <v>Other source (Specify:                                )</v>
      </c>
      <c r="B27" s="5">
        <f>'Devel. Bud'!D98</f>
        <v>0</v>
      </c>
      <c r="C27" s="342" t="e">
        <f>B27/'Units &amp; Income'!$C$23</f>
        <v>#DIV/0!</v>
      </c>
      <c r="D27" s="343" t="e">
        <f t="shared" si="1"/>
        <v>#DIV/0!</v>
      </c>
      <c r="E27" s="12"/>
      <c r="F27" s="12"/>
      <c r="G27" s="4"/>
      <c r="H27" s="2"/>
    </row>
    <row r="28" spans="1:8">
      <c r="A28" s="548" t="str">
        <f>'Devel. Bud'!A99</f>
        <v>Gap/(Surplus)</v>
      </c>
      <c r="B28" s="5" t="e">
        <f>'Devel. Bud'!D99</f>
        <v>#DIV/0!</v>
      </c>
      <c r="C28" s="342" t="e">
        <f>B28/'Units &amp; Income'!$C$23</f>
        <v>#DIV/0!</v>
      </c>
      <c r="D28" s="343" t="e">
        <f t="shared" si="1"/>
        <v>#DIV/0!</v>
      </c>
      <c r="E28" s="12"/>
      <c r="F28" s="12"/>
      <c r="G28" s="4"/>
      <c r="H28" s="2"/>
    </row>
    <row r="29" spans="1:8">
      <c r="A29" s="548"/>
      <c r="B29" s="5"/>
      <c r="C29" s="342"/>
      <c r="D29" s="343"/>
      <c r="E29" s="2"/>
      <c r="F29" s="9"/>
      <c r="G29" s="4"/>
      <c r="H29" s="31"/>
    </row>
    <row r="30" spans="1:8">
      <c r="A30" s="93" t="s">
        <v>13</v>
      </c>
      <c r="B30" s="345" t="e">
        <f>SUM(B20:B28)</f>
        <v>#DIV/0!</v>
      </c>
      <c r="C30" s="346" t="e">
        <f>B30/'Units &amp; Income'!$C$23</f>
        <v>#DIV/0!</v>
      </c>
      <c r="D30" s="76" t="e">
        <f>SUM(D20:D28)</f>
        <v>#DIV/0!</v>
      </c>
      <c r="E30" s="12"/>
      <c r="F30" s="32"/>
      <c r="G30" s="4"/>
      <c r="H30" s="2"/>
    </row>
    <row r="31" spans="1:8" ht="17" thickBot="1">
      <c r="A31" s="2"/>
      <c r="B31" s="649"/>
      <c r="C31" s="650"/>
      <c r="D31" s="29"/>
      <c r="E31" s="12"/>
      <c r="F31" s="32"/>
      <c r="G31" s="4"/>
      <c r="H31" s="2"/>
    </row>
    <row r="32" spans="1:8" ht="17" thickTop="1">
      <c r="A32" s="77" t="s">
        <v>15</v>
      </c>
      <c r="B32" s="4"/>
      <c r="C32" s="342"/>
      <c r="D32" s="75"/>
      <c r="E32" s="12"/>
      <c r="F32" s="12"/>
      <c r="G32" s="4"/>
      <c r="H32" s="51"/>
    </row>
    <row r="33" spans="1:7">
      <c r="A33" s="549" t="s">
        <v>16</v>
      </c>
      <c r="B33" s="10">
        <f>'Devel. Bud'!D6</f>
        <v>0</v>
      </c>
      <c r="C33" s="342" t="e">
        <f>B33/'Units &amp; Income'!$C$23</f>
        <v>#DIV/0!</v>
      </c>
      <c r="D33" s="343" t="e">
        <f>B33/$B$38</f>
        <v>#DIV/0!</v>
      </c>
      <c r="E33" s="12"/>
      <c r="F33" s="33"/>
      <c r="G33" s="4"/>
    </row>
    <row r="34" spans="1:7">
      <c r="A34" s="549" t="s">
        <v>17</v>
      </c>
      <c r="B34" s="5">
        <f>'Devel. Bud'!D16</f>
        <v>0</v>
      </c>
      <c r="C34" s="342" t="e">
        <f>B34/'Units &amp; Income'!$C$23</f>
        <v>#DIV/0!</v>
      </c>
      <c r="D34" s="343" t="e">
        <f>B34/$B$38</f>
        <v>#DIV/0!</v>
      </c>
      <c r="E34" s="12"/>
      <c r="F34" s="12"/>
      <c r="G34" s="34"/>
    </row>
    <row r="35" spans="1:7">
      <c r="A35" s="550" t="s">
        <v>18</v>
      </c>
      <c r="B35" s="5" t="e">
        <f>B38-B33-B34-B36</f>
        <v>#DIV/0!</v>
      </c>
      <c r="C35" s="342" t="e">
        <f>B35/'Units &amp; Income'!$C$23</f>
        <v>#DIV/0!</v>
      </c>
      <c r="D35" s="343" t="e">
        <f>B35/$B$38</f>
        <v>#DIV/0!</v>
      </c>
      <c r="E35" s="12"/>
      <c r="F35" s="12"/>
      <c r="G35" s="34"/>
    </row>
    <row r="36" spans="1:7">
      <c r="A36" s="550" t="s">
        <v>19</v>
      </c>
      <c r="B36" s="5">
        <f>'Devel. Bud'!D73</f>
        <v>0</v>
      </c>
      <c r="C36" s="342" t="e">
        <f>B36/'Units &amp; Income'!$C$23</f>
        <v>#DIV/0!</v>
      </c>
      <c r="D36" s="343" t="e">
        <f>B36/$B$38</f>
        <v>#DIV/0!</v>
      </c>
      <c r="E36" s="12"/>
      <c r="F36" s="12"/>
      <c r="G36" s="34"/>
    </row>
    <row r="37" spans="1:7">
      <c r="A37" s="551"/>
      <c r="B37" s="348"/>
      <c r="C37" s="342"/>
      <c r="D37" s="349"/>
      <c r="E37" s="12"/>
      <c r="F37" s="12"/>
      <c r="G37" s="34"/>
    </row>
    <row r="38" spans="1:7">
      <c r="A38" s="93" t="s">
        <v>20</v>
      </c>
      <c r="B38" s="345" t="e">
        <f>B30</f>
        <v>#DIV/0!</v>
      </c>
      <c r="C38" s="350" t="e">
        <f>B38/'Units &amp; Income'!$C$23</f>
        <v>#DIV/0!</v>
      </c>
      <c r="D38" s="76" t="e">
        <f>SUM(D33:D36)</f>
        <v>#DIV/0!</v>
      </c>
      <c r="E38" s="12"/>
      <c r="F38" s="12"/>
      <c r="G38" s="34"/>
    </row>
    <row r="39" spans="1:7">
      <c r="A39" s="2"/>
      <c r="B39" s="2"/>
      <c r="C39" s="339"/>
      <c r="D39" s="31"/>
      <c r="E39" s="12"/>
      <c r="F39" s="12"/>
      <c r="G39" s="34"/>
    </row>
    <row r="40" spans="1:7">
      <c r="A40" s="2"/>
      <c r="B40" s="30"/>
      <c r="C40" s="339"/>
      <c r="D40" s="31"/>
      <c r="E40" s="12"/>
      <c r="F40" s="12"/>
      <c r="G40" s="12"/>
    </row>
    <row r="41" spans="1:7">
      <c r="A41" s="16"/>
      <c r="B41" s="13"/>
      <c r="C41" s="339"/>
      <c r="D41" s="29"/>
      <c r="E41" s="12"/>
      <c r="F41" s="12"/>
      <c r="G41" s="12"/>
    </row>
    <row r="42" spans="1:7">
      <c r="A42" s="2"/>
      <c r="B42" s="2"/>
      <c r="C42" s="51"/>
      <c r="D42" s="29"/>
      <c r="E42" s="2"/>
      <c r="F42" s="2"/>
      <c r="G42" s="2"/>
    </row>
    <row r="43" spans="1:7">
      <c r="A43" s="2"/>
      <c r="B43" s="2"/>
      <c r="C43" s="51"/>
      <c r="D43" s="29"/>
      <c r="E43" s="2"/>
      <c r="F43" s="2"/>
      <c r="G43" s="2"/>
    </row>
    <row r="44" spans="1:7">
      <c r="A44" s="2"/>
      <c r="B44" s="2"/>
      <c r="C44" s="51"/>
      <c r="D44" s="29"/>
      <c r="E44" s="2"/>
      <c r="F44" s="2"/>
      <c r="G44" s="2"/>
    </row>
  </sheetData>
  <customSheetViews>
    <customSheetView guid="{25C4E7E7-1006-4A2D-BC83-AEE4ADF8A914}" scale="75" colorId="22" showPageBreaks="1" printArea="1" hiddenRows="1" showRuler="0">
      <selection activeCell="A33" sqref="A33"/>
      <pageMargins left="0" right="0" top="0" bottom="0" header="0" footer="0"/>
      <pageSetup scale="90" orientation="landscape" r:id="rId1"/>
      <headerFooter alignWithMargins="0"/>
    </customSheetView>
    <customSheetView guid="{28F81D13-D146-4D67-8981-BA5D7A496326}" scale="87" colorId="22" showPageBreaks="1" printArea="1" showRuler="0" topLeftCell="A7">
      <selection activeCell="H12" sqref="H12"/>
      <pageMargins left="0" right="0" top="0" bottom="0" header="0" footer="0"/>
      <pageSetup scale="96" orientation="landscape" r:id="rId2"/>
      <headerFooter alignWithMargins="0"/>
    </customSheetView>
    <customSheetView guid="{AEA5979F-5357-4ED6-A6CA-1BB80F5C7A74}" scale="87" colorId="22" showPageBreaks="1" printArea="1" showRuler="0">
      <selection activeCell="A21" sqref="A21"/>
      <pageMargins left="0" right="0" top="0" bottom="0" header="0" footer="0"/>
      <pageSetup scale="96" orientation="landscape" r:id="rId3"/>
      <headerFooter alignWithMargins="0"/>
    </customSheetView>
    <customSheetView guid="{EB776EFC-3589-4DB5-BEAF-1E83D9703F9E}" scale="87" colorId="22" showRuler="0" topLeftCell="A8">
      <selection activeCell="H21" sqref="H21"/>
      <pageMargins left="0" right="0" top="0" bottom="0" header="0" footer="0"/>
      <pageSetup orientation="landscape" r:id="rId4"/>
      <headerFooter alignWithMargins="0"/>
    </customSheetView>
    <customSheetView guid="{FBB4BF8E-8A9F-4E98-A6F9-5F9BF4C55C67}" scale="87" colorId="22" showPageBreaks="1" showRuler="0" topLeftCell="C5">
      <selection activeCell="I16" sqref="I16"/>
      <pageMargins left="0" right="0" top="0" bottom="0" header="0" footer="0"/>
      <pageSetup orientation="landscape" r:id="rId5"/>
      <headerFooter alignWithMargins="0"/>
    </customSheetView>
    <customSheetView guid="{6EF643BE-69F3-424E-8A44-3890161370D4}" scale="87" colorId="22" showPageBreaks="1" printArea="1" showRuler="0" topLeftCell="A4">
      <selection activeCell="H13" sqref="H13"/>
      <pageMargins left="0" right="0" top="0" bottom="0" header="0" footer="0"/>
      <pageSetup scale="96" orientation="landscape" r:id="rId6"/>
      <headerFooter alignWithMargins="0"/>
    </customSheetView>
    <customSheetView guid="{1ECE83C7-A3CE-4F97-BFD3-498FF783C0D9}" scale="75" colorId="22" showPageBreaks="1" printArea="1" showRuler="0" topLeftCell="A17">
      <selection activeCell="H29" sqref="H29"/>
      <pageMargins left="0" right="0" top="0" bottom="0" header="0" footer="0"/>
      <pageSetup scale="90" orientation="landscape" r:id="rId7"/>
      <headerFooter alignWithMargins="0"/>
    </customSheetView>
    <customSheetView guid="{560D4AFA-61E5-46C3-B0CD-D0EB3053A033}" scale="75" colorId="22" showPageBreaks="1" printArea="1" hiddenRows="1" showRuler="0">
      <selection activeCell="B7" sqref="B7:B14"/>
      <pageMargins left="0" right="0" top="0" bottom="0" header="0" footer="0"/>
      <pageSetup scale="90" orientation="landscape" r:id="rId8"/>
      <headerFooter alignWithMargins="0"/>
    </customSheetView>
  </customSheetViews>
  <phoneticPr fontId="0" type="noConversion"/>
  <pageMargins left="0.75" right="0.5" top="0.75" bottom="0.5" header="0.5" footer="0.5"/>
  <pageSetup scale="90" firstPageNumber="206" orientation="portrait" useFirstPageNumber="1"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pageSetUpPr fitToPage="1"/>
  </sheetPr>
  <dimension ref="A1:P109"/>
  <sheetViews>
    <sheetView defaultGridColor="0" topLeftCell="A67" colorId="22" zoomScale="70" zoomScaleNormal="70" zoomScaleSheetLayoutView="55" zoomScalePageLayoutView="55" workbookViewId="0">
      <selection activeCell="G89" sqref="G89"/>
    </sheetView>
  </sheetViews>
  <sheetFormatPr baseColWidth="10" defaultColWidth="9.7109375" defaultRowHeight="16"/>
  <cols>
    <col min="1" max="1" width="41" style="25" customWidth="1"/>
    <col min="2" max="2" width="8.5703125" style="25" customWidth="1"/>
    <col min="3" max="3" width="12" style="25" bestFit="1" customWidth="1"/>
    <col min="4" max="4" width="16" style="38" customWidth="1"/>
    <col min="5" max="5" width="16.140625" style="25" customWidth="1"/>
    <col min="6" max="6" width="15.7109375" style="25" customWidth="1"/>
    <col min="7" max="7" width="10.42578125" style="25" customWidth="1"/>
    <col min="8" max="8" width="11.140625" style="25" customWidth="1"/>
    <col min="9" max="13" width="16" style="38" customWidth="1"/>
    <col min="14" max="14" width="10.7109375" style="25" bestFit="1" customWidth="1"/>
    <col min="15" max="16384" width="9.7109375" style="25"/>
  </cols>
  <sheetData>
    <row r="1" spans="1:13" ht="16.5" customHeight="1">
      <c r="A1" s="1" t="str">
        <f>'Sources and Use'!A1</f>
        <v xml:space="preserve">Project Name: </v>
      </c>
      <c r="B1" s="51"/>
      <c r="C1" s="17"/>
      <c r="D1" s="351"/>
      <c r="E1" s="1"/>
      <c r="F1" s="18"/>
      <c r="G1" s="51"/>
      <c r="H1" s="51"/>
      <c r="I1" s="351"/>
      <c r="J1" s="351"/>
      <c r="K1" s="351"/>
      <c r="L1" s="351"/>
      <c r="M1" s="351"/>
    </row>
    <row r="2" spans="1:13" ht="16.5" customHeight="1">
      <c r="A2" s="1" t="str">
        <f>'Units &amp; Income'!B2</f>
        <v>Site:</v>
      </c>
      <c r="B2" s="51"/>
      <c r="C2" s="17"/>
      <c r="D2" s="351"/>
      <c r="E2" s="1" t="str">
        <f>'Sources and Use'!C2</f>
        <v>Units:</v>
      </c>
      <c r="F2" s="18">
        <f>'Units &amp; Income'!C23</f>
        <v>0</v>
      </c>
      <c r="G2" s="51"/>
      <c r="H2" s="51"/>
      <c r="I2" s="351"/>
      <c r="J2" s="351"/>
      <c r="K2" s="351"/>
      <c r="L2" s="351"/>
      <c r="M2" s="351"/>
    </row>
    <row r="3" spans="1:13" ht="15" customHeight="1">
      <c r="A3" s="17"/>
      <c r="B3" s="1"/>
      <c r="C3" s="17"/>
      <c r="D3" s="351"/>
      <c r="E3" s="51"/>
      <c r="F3" s="51"/>
      <c r="G3" s="51"/>
      <c r="H3" s="51"/>
      <c r="I3" s="1" t="s">
        <v>21</v>
      </c>
      <c r="J3" s="351"/>
      <c r="K3" s="351"/>
      <c r="L3" s="351"/>
      <c r="M3" s="351"/>
    </row>
    <row r="4" spans="1:13" ht="15.75" customHeight="1">
      <c r="A4" s="1" t="s">
        <v>22</v>
      </c>
      <c r="B4" s="27"/>
      <c r="C4" s="17"/>
      <c r="D4" s="352"/>
      <c r="E4" s="353"/>
      <c r="F4" s="18"/>
      <c r="G4" s="51"/>
      <c r="H4" s="51"/>
      <c r="I4" s="352"/>
      <c r="J4" s="352"/>
      <c r="K4" s="352"/>
      <c r="L4" s="352"/>
      <c r="M4" s="352"/>
    </row>
    <row r="5" spans="1:13">
      <c r="A5" s="2"/>
      <c r="B5" s="2"/>
      <c r="C5" s="2"/>
      <c r="D5" s="354" t="s">
        <v>23</v>
      </c>
      <c r="E5" s="2"/>
      <c r="F5" s="2"/>
      <c r="G5" s="2"/>
      <c r="H5" s="51"/>
      <c r="I5" s="354" t="s">
        <v>24</v>
      </c>
      <c r="J5" s="354" t="s">
        <v>25</v>
      </c>
      <c r="K5" s="354" t="s">
        <v>26</v>
      </c>
      <c r="L5" s="354" t="s">
        <v>27</v>
      </c>
      <c r="M5" s="354" t="s">
        <v>28</v>
      </c>
    </row>
    <row r="6" spans="1:13">
      <c r="A6" s="254" t="s">
        <v>29</v>
      </c>
      <c r="B6" s="255"/>
      <c r="C6" s="256"/>
      <c r="D6" s="257">
        <v>0</v>
      </c>
      <c r="E6" s="258"/>
      <c r="F6" s="259"/>
      <c r="G6" s="2"/>
      <c r="H6" s="51"/>
      <c r="I6" s="628">
        <v>0</v>
      </c>
      <c r="J6" s="646">
        <v>0</v>
      </c>
      <c r="K6" s="628">
        <v>0</v>
      </c>
      <c r="L6" s="628">
        <v>0</v>
      </c>
      <c r="M6" s="628">
        <v>0</v>
      </c>
    </row>
    <row r="7" spans="1:13">
      <c r="A7" s="260"/>
      <c r="B7" s="549"/>
      <c r="C7" s="355"/>
      <c r="D7" s="552"/>
      <c r="E7" s="549"/>
      <c r="F7" s="356"/>
      <c r="G7" s="2"/>
      <c r="H7" s="51"/>
      <c r="I7" s="629"/>
      <c r="J7" s="629"/>
      <c r="K7" s="629"/>
      <c r="L7" s="629"/>
      <c r="M7" s="629"/>
    </row>
    <row r="8" spans="1:13">
      <c r="A8" s="261" t="s">
        <v>30</v>
      </c>
      <c r="B8" s="553"/>
      <c r="C8" s="357"/>
      <c r="D8" s="552"/>
      <c r="E8" s="2"/>
      <c r="F8" s="356"/>
      <c r="G8" s="2" t="s">
        <v>12</v>
      </c>
      <c r="H8" s="51" t="s">
        <v>12</v>
      </c>
      <c r="I8" s="629"/>
      <c r="J8" s="629"/>
      <c r="K8" s="629"/>
      <c r="L8" s="629"/>
      <c r="M8" s="629"/>
    </row>
    <row r="9" spans="1:13">
      <c r="A9" s="267" t="s">
        <v>31</v>
      </c>
      <c r="B9" s="553"/>
      <c r="C9" s="37"/>
      <c r="D9" s="552"/>
      <c r="E9" s="2"/>
      <c r="F9" s="356"/>
      <c r="G9" s="2"/>
      <c r="H9" s="51"/>
      <c r="I9" s="629"/>
      <c r="J9" s="629"/>
      <c r="K9" s="629"/>
      <c r="L9" s="629"/>
      <c r="M9" s="629"/>
    </row>
    <row r="10" spans="1:13">
      <c r="A10" s="358" t="s">
        <v>32</v>
      </c>
      <c r="B10" s="554" t="e">
        <f>D10/'Units &amp; Income'!C23</f>
        <v>#DIV/0!</v>
      </c>
      <c r="C10" s="2" t="s">
        <v>33</v>
      </c>
      <c r="D10" s="359"/>
      <c r="E10" s="360" t="e">
        <f>D10/'Units &amp; Income'!C5</f>
        <v>#DIV/0!</v>
      </c>
      <c r="F10" s="356" t="s">
        <v>34</v>
      </c>
      <c r="G10" s="2" t="s">
        <v>12</v>
      </c>
      <c r="H10" s="51" t="s">
        <v>35</v>
      </c>
      <c r="I10" s="630"/>
      <c r="J10" s="630"/>
      <c r="K10" s="630"/>
      <c r="L10" s="630"/>
      <c r="M10" s="630"/>
    </row>
    <row r="11" spans="1:13">
      <c r="A11" s="361" t="s">
        <v>36</v>
      </c>
      <c r="B11" s="554"/>
      <c r="C11" s="2"/>
      <c r="D11" s="359"/>
      <c r="E11" s="51" t="e">
        <f>D11/'Units &amp; Income'!C6</f>
        <v>#DIV/0!</v>
      </c>
      <c r="F11" s="356"/>
      <c r="G11" s="2"/>
      <c r="H11" s="51"/>
      <c r="I11" s="630"/>
      <c r="J11" s="630"/>
      <c r="K11" s="630"/>
      <c r="L11" s="630"/>
      <c r="M11" s="630"/>
    </row>
    <row r="12" spans="1:13">
      <c r="A12" s="362" t="s">
        <v>37</v>
      </c>
      <c r="B12" s="555"/>
      <c r="C12" s="2"/>
      <c r="D12" s="359"/>
      <c r="E12" s="360" t="e">
        <f>D12/'Units &amp; Income'!C7</f>
        <v>#DIV/0!</v>
      </c>
      <c r="F12" s="356" t="s">
        <v>34</v>
      </c>
      <c r="G12" s="2" t="s">
        <v>12</v>
      </c>
      <c r="H12" s="51" t="s">
        <v>12</v>
      </c>
      <c r="I12" s="630"/>
      <c r="J12" s="630"/>
      <c r="K12" s="630"/>
      <c r="L12" s="630"/>
      <c r="M12" s="630"/>
    </row>
    <row r="13" spans="1:13">
      <c r="A13" s="358" t="s">
        <v>38</v>
      </c>
      <c r="B13" s="555"/>
      <c r="C13" s="2"/>
      <c r="D13" s="359"/>
      <c r="E13" s="360" t="e">
        <f>D13/'Units &amp; Income'!C8</f>
        <v>#DIV/0!</v>
      </c>
      <c r="F13" s="356" t="s">
        <v>34</v>
      </c>
      <c r="G13" s="2"/>
      <c r="H13" s="51"/>
      <c r="I13" s="630"/>
      <c r="J13" s="630"/>
      <c r="K13" s="630"/>
      <c r="L13" s="630"/>
      <c r="M13" s="630"/>
    </row>
    <row r="14" spans="1:13">
      <c r="A14" s="358" t="s">
        <v>28</v>
      </c>
      <c r="B14" s="549"/>
      <c r="C14" s="2"/>
      <c r="D14" s="359"/>
      <c r="E14" s="360" t="e">
        <f>D14/'Units &amp; Income'!C9</f>
        <v>#DIV/0!</v>
      </c>
      <c r="F14" s="356" t="s">
        <v>34</v>
      </c>
      <c r="G14" s="2" t="s">
        <v>12</v>
      </c>
      <c r="H14" s="51" t="s">
        <v>12</v>
      </c>
      <c r="I14" s="630"/>
      <c r="J14" s="630"/>
      <c r="K14" s="630"/>
      <c r="L14" s="630"/>
      <c r="M14" s="630"/>
    </row>
    <row r="15" spans="1:13" ht="19">
      <c r="A15" s="363" t="s">
        <v>39</v>
      </c>
      <c r="B15" s="364"/>
      <c r="C15" s="365"/>
      <c r="D15" s="556">
        <f>B15*($D$10+$D$12+$D$13+$D$14)</f>
        <v>0</v>
      </c>
      <c r="E15" s="48"/>
      <c r="F15" s="356"/>
      <c r="G15" s="2" t="s">
        <v>12</v>
      </c>
      <c r="H15" s="51" t="s">
        <v>12</v>
      </c>
      <c r="I15" s="631">
        <f>G15*($D$10+$D$12+$D$13+$D$14)</f>
        <v>0</v>
      </c>
      <c r="J15" s="631">
        <f>H15*($D$10+$D$12+$D$13+$D$14)</f>
        <v>0</v>
      </c>
      <c r="K15" s="631">
        <f>I15*($D$10+$D$12+$D$13+$D$14)</f>
        <v>0</v>
      </c>
      <c r="L15" s="631">
        <f>J15*($D$10+$D$12+$D$13+$D$14)</f>
        <v>0</v>
      </c>
      <c r="M15" s="631">
        <f>K15*($D$10+$D$12+$D$13+$D$14)</f>
        <v>0</v>
      </c>
    </row>
    <row r="16" spans="1:13">
      <c r="A16" s="262" t="s">
        <v>40</v>
      </c>
      <c r="B16" s="555" t="e">
        <f>D16/'Units &amp; Income'!C23</f>
        <v>#DIV/0!</v>
      </c>
      <c r="C16" s="2" t="s">
        <v>33</v>
      </c>
      <c r="D16" s="557">
        <f>SUM(D10:D15)</f>
        <v>0</v>
      </c>
      <c r="E16" s="48" t="e">
        <f>D16/'Units &amp; Income'!C10</f>
        <v>#DIV/0!</v>
      </c>
      <c r="F16" s="366" t="s">
        <v>41</v>
      </c>
      <c r="G16" s="2"/>
      <c r="H16" s="51"/>
      <c r="I16" s="632">
        <f>SUM(I10:I15)</f>
        <v>0</v>
      </c>
      <c r="J16" s="632">
        <f>SUM(J10:J15)</f>
        <v>0</v>
      </c>
      <c r="K16" s="632">
        <f>SUM(K10:K15)</f>
        <v>0</v>
      </c>
      <c r="L16" s="632">
        <f>SUM(L10:L15)</f>
        <v>0</v>
      </c>
      <c r="M16" s="632">
        <f>SUM(M10:M15)</f>
        <v>0</v>
      </c>
    </row>
    <row r="17" spans="1:16">
      <c r="A17" s="267"/>
      <c r="B17" s="549"/>
      <c r="C17" s="355"/>
      <c r="D17" s="552"/>
      <c r="E17" s="549"/>
      <c r="F17" s="356"/>
      <c r="G17" s="2"/>
      <c r="H17" s="51"/>
      <c r="I17" s="629"/>
      <c r="J17" s="629"/>
      <c r="K17" s="629"/>
      <c r="L17" s="629"/>
      <c r="M17" s="629"/>
      <c r="N17" s="51"/>
      <c r="O17" s="51"/>
      <c r="P17" s="51"/>
    </row>
    <row r="18" spans="1:16">
      <c r="A18" s="267"/>
      <c r="B18" s="549"/>
      <c r="C18" s="355"/>
      <c r="D18" s="552"/>
      <c r="E18" s="549"/>
      <c r="F18" s="356"/>
      <c r="G18" s="2"/>
      <c r="H18" s="51"/>
      <c r="I18" s="629"/>
      <c r="J18" s="629"/>
      <c r="K18" s="629"/>
      <c r="L18" s="629"/>
      <c r="M18" s="629"/>
      <c r="N18" s="51"/>
      <c r="O18" s="51"/>
      <c r="P18" s="51"/>
    </row>
    <row r="19" spans="1:16">
      <c r="A19" s="261" t="s">
        <v>42</v>
      </c>
      <c r="B19" s="553"/>
      <c r="C19" s="357"/>
      <c r="D19" s="552"/>
      <c r="E19" s="549"/>
      <c r="F19" s="356"/>
      <c r="G19" s="2"/>
      <c r="H19" s="2"/>
      <c r="I19" s="629"/>
      <c r="J19" s="629"/>
      <c r="K19" s="629"/>
      <c r="L19" s="629"/>
      <c r="M19" s="629"/>
      <c r="N19" s="2"/>
      <c r="O19" s="2"/>
      <c r="P19" s="2"/>
    </row>
    <row r="20" spans="1:16">
      <c r="A20" s="263"/>
      <c r="B20" s="553"/>
      <c r="C20" s="357"/>
      <c r="D20" s="344"/>
      <c r="E20" s="549"/>
      <c r="F20" s="356"/>
      <c r="G20" s="2"/>
      <c r="H20" s="2"/>
      <c r="I20" s="629"/>
      <c r="J20" s="629"/>
      <c r="K20" s="629"/>
      <c r="L20" s="629"/>
      <c r="M20" s="629"/>
      <c r="N20" s="2"/>
      <c r="O20" s="2"/>
      <c r="P20" s="2"/>
    </row>
    <row r="21" spans="1:16">
      <c r="A21" s="267" t="s">
        <v>43</v>
      </c>
      <c r="B21" s="549"/>
      <c r="C21" s="355"/>
      <c r="D21" s="367"/>
      <c r="E21" s="558"/>
      <c r="F21" s="356"/>
      <c r="G21" s="2"/>
      <c r="H21" s="2"/>
      <c r="I21" s="630"/>
      <c r="J21" s="630"/>
      <c r="K21" s="630"/>
      <c r="L21" s="630"/>
      <c r="M21" s="630"/>
      <c r="N21" s="2"/>
      <c r="O21" s="2"/>
      <c r="P21" s="2"/>
    </row>
    <row r="22" spans="1:16">
      <c r="A22" s="267" t="s">
        <v>44</v>
      </c>
      <c r="B22" s="549"/>
      <c r="C22" s="368"/>
      <c r="D22" s="367"/>
      <c r="E22" s="554"/>
      <c r="F22" s="356"/>
      <c r="G22" s="2"/>
      <c r="H22" s="2"/>
      <c r="I22" s="630"/>
      <c r="J22" s="630"/>
      <c r="K22" s="630"/>
      <c r="L22" s="630"/>
      <c r="M22" s="630"/>
      <c r="N22" s="2"/>
      <c r="O22" s="2"/>
      <c r="P22" s="2"/>
    </row>
    <row r="23" spans="1:16">
      <c r="A23" s="267" t="s">
        <v>45</v>
      </c>
      <c r="B23" s="549"/>
      <c r="C23" s="355"/>
      <c r="D23" s="367"/>
      <c r="E23" s="559"/>
      <c r="F23" s="356"/>
      <c r="G23" s="2"/>
      <c r="H23" s="2"/>
      <c r="I23" s="630"/>
      <c r="J23" s="630"/>
      <c r="K23" s="630"/>
      <c r="L23" s="630"/>
      <c r="M23" s="630"/>
      <c r="N23" s="2"/>
      <c r="O23" s="2"/>
      <c r="P23" s="2"/>
    </row>
    <row r="24" spans="1:16">
      <c r="A24" s="267" t="s">
        <v>46</v>
      </c>
      <c r="B24" s="549"/>
      <c r="C24" s="355"/>
      <c r="D24" s="367"/>
      <c r="E24" s="559"/>
      <c r="F24" s="356"/>
      <c r="G24" s="2"/>
      <c r="H24" s="2"/>
      <c r="I24" s="630"/>
      <c r="J24" s="630"/>
      <c r="K24" s="630"/>
      <c r="L24" s="630"/>
      <c r="M24" s="630"/>
      <c r="N24" s="2"/>
      <c r="O24" s="2"/>
      <c r="P24" s="2"/>
    </row>
    <row r="25" spans="1:16">
      <c r="A25" s="267" t="s">
        <v>47</v>
      </c>
      <c r="B25" s="549"/>
      <c r="C25" s="355"/>
      <c r="D25" s="367"/>
      <c r="E25" s="559"/>
      <c r="F25" s="356"/>
      <c r="G25" s="2"/>
      <c r="H25" s="2"/>
      <c r="I25" s="630"/>
      <c r="J25" s="630"/>
      <c r="K25" s="630"/>
      <c r="L25" s="630"/>
      <c r="M25" s="630"/>
      <c r="N25" s="2"/>
      <c r="O25" s="2"/>
      <c r="P25" s="2"/>
    </row>
    <row r="26" spans="1:16">
      <c r="A26" s="267" t="s">
        <v>48</v>
      </c>
      <c r="B26" s="549"/>
      <c r="C26" s="355"/>
      <c r="D26" s="367"/>
      <c r="E26" s="559"/>
      <c r="F26" s="356"/>
      <c r="G26" s="2"/>
      <c r="H26" s="2"/>
      <c r="I26" s="630"/>
      <c r="J26" s="630"/>
      <c r="K26" s="630"/>
      <c r="L26" s="630"/>
      <c r="M26" s="630"/>
      <c r="N26" s="5"/>
      <c r="O26" s="5"/>
      <c r="P26" s="4"/>
    </row>
    <row r="27" spans="1:16">
      <c r="A27" s="267" t="s">
        <v>49</v>
      </c>
      <c r="B27" s="560"/>
      <c r="C27" s="355"/>
      <c r="D27" s="367"/>
      <c r="E27" s="561"/>
      <c r="F27" s="356"/>
      <c r="G27" s="2"/>
      <c r="H27" s="2"/>
      <c r="I27" s="630"/>
      <c r="J27" s="630"/>
      <c r="K27" s="630"/>
      <c r="L27" s="630"/>
      <c r="M27" s="630"/>
      <c r="N27" s="9"/>
      <c r="O27" s="5"/>
      <c r="P27" s="4"/>
    </row>
    <row r="28" spans="1:16">
      <c r="A28" s="267" t="s">
        <v>50</v>
      </c>
      <c r="B28" s="51"/>
      <c r="C28" s="355"/>
      <c r="D28" s="367"/>
      <c r="E28" s="559"/>
      <c r="F28" s="356"/>
      <c r="G28" s="2"/>
      <c r="H28" s="2"/>
      <c r="I28" s="630"/>
      <c r="J28" s="630"/>
      <c r="K28" s="630"/>
      <c r="L28" s="630"/>
      <c r="M28" s="630"/>
      <c r="N28" s="4"/>
      <c r="O28" s="4"/>
      <c r="P28" s="2"/>
    </row>
    <row r="29" spans="1:16">
      <c r="A29" s="267" t="s">
        <v>51</v>
      </c>
      <c r="B29" s="51"/>
      <c r="C29" s="355"/>
      <c r="D29" s="367"/>
      <c r="E29" s="559"/>
      <c r="F29" s="356"/>
      <c r="G29" s="2"/>
      <c r="H29" s="2"/>
      <c r="I29" s="630"/>
      <c r="J29" s="630"/>
      <c r="K29" s="630"/>
      <c r="L29" s="630"/>
      <c r="M29" s="630"/>
      <c r="N29" s="4"/>
      <c r="O29" s="4"/>
      <c r="P29" s="2"/>
    </row>
    <row r="30" spans="1:16">
      <c r="A30" s="267" t="s">
        <v>52</v>
      </c>
      <c r="B30" s="549"/>
      <c r="C30" s="355"/>
      <c r="D30" s="367"/>
      <c r="E30" s="559"/>
      <c r="F30" s="356"/>
      <c r="G30" s="2"/>
      <c r="H30" s="2"/>
      <c r="I30" s="630"/>
      <c r="J30" s="630"/>
      <c r="K30" s="630"/>
      <c r="L30" s="630"/>
      <c r="M30" s="630"/>
      <c r="N30" s="5"/>
      <c r="O30" s="5"/>
      <c r="P30" s="4"/>
    </row>
    <row r="31" spans="1:16">
      <c r="A31" s="267" t="s">
        <v>53</v>
      </c>
      <c r="B31" s="549"/>
      <c r="C31" s="355"/>
      <c r="D31" s="367"/>
      <c r="E31" s="559"/>
      <c r="F31" s="356"/>
      <c r="G31" s="2"/>
      <c r="H31" s="2"/>
      <c r="I31" s="630"/>
      <c r="J31" s="630"/>
      <c r="K31" s="630"/>
      <c r="L31" s="630"/>
      <c r="M31" s="630"/>
      <c r="N31" s="2"/>
      <c r="O31" s="2"/>
      <c r="P31" s="4"/>
    </row>
    <row r="32" spans="1:16">
      <c r="A32" s="267" t="s">
        <v>54</v>
      </c>
      <c r="B32" s="549"/>
      <c r="C32" s="355"/>
      <c r="D32" s="367"/>
      <c r="E32" s="559"/>
      <c r="F32" s="356"/>
      <c r="G32" s="2"/>
      <c r="H32" s="2"/>
      <c r="I32" s="630"/>
      <c r="J32" s="630"/>
      <c r="K32" s="630"/>
      <c r="L32" s="630"/>
      <c r="M32" s="630"/>
      <c r="N32" s="2"/>
      <c r="O32" s="2"/>
      <c r="P32" s="4"/>
    </row>
    <row r="33" spans="1:16">
      <c r="A33" s="267" t="s">
        <v>55</v>
      </c>
      <c r="B33" s="550"/>
      <c r="C33" s="355"/>
      <c r="D33" s="367"/>
      <c r="E33" s="559"/>
      <c r="F33" s="356"/>
      <c r="G33" s="2"/>
      <c r="H33" s="2"/>
      <c r="I33" s="630"/>
      <c r="J33" s="630"/>
      <c r="K33" s="630"/>
      <c r="L33" s="630"/>
      <c r="M33" s="630"/>
      <c r="N33" s="2"/>
      <c r="O33" s="2"/>
      <c r="P33" s="2"/>
    </row>
    <row r="34" spans="1:16">
      <c r="A34" s="267" t="s">
        <v>56</v>
      </c>
      <c r="B34" s="550"/>
      <c r="C34" s="355"/>
      <c r="D34" s="367"/>
      <c r="E34" s="559"/>
      <c r="F34" s="356"/>
      <c r="G34" s="2"/>
      <c r="H34" s="2"/>
      <c r="I34" s="630"/>
      <c r="J34" s="630"/>
      <c r="K34" s="630"/>
      <c r="L34" s="630"/>
      <c r="M34" s="630"/>
      <c r="N34" s="2"/>
      <c r="O34" s="2"/>
      <c r="P34" s="2"/>
    </row>
    <row r="35" spans="1:16" ht="19">
      <c r="A35" s="267" t="s">
        <v>57</v>
      </c>
      <c r="B35" s="553"/>
      <c r="C35" s="355"/>
      <c r="D35" s="274"/>
      <c r="E35" s="559"/>
      <c r="F35" s="356"/>
      <c r="G35" s="2"/>
      <c r="H35" s="2"/>
      <c r="I35" s="633"/>
      <c r="J35" s="633"/>
      <c r="K35" s="633"/>
      <c r="L35" s="633"/>
      <c r="M35" s="633"/>
      <c r="N35" s="49"/>
      <c r="O35" s="9"/>
      <c r="P35" s="369"/>
    </row>
    <row r="36" spans="1:16">
      <c r="A36" s="262" t="s">
        <v>58</v>
      </c>
      <c r="B36" s="562"/>
      <c r="C36" s="370"/>
      <c r="D36" s="563">
        <f>SUM(D21:D35)</f>
        <v>0</v>
      </c>
      <c r="E36" s="549"/>
      <c r="F36" s="356"/>
      <c r="G36" s="2"/>
      <c r="H36" s="2"/>
      <c r="I36" s="634">
        <f>SUM(I21:I35)</f>
        <v>0</v>
      </c>
      <c r="J36" s="634">
        <f>SUM(J21:J35)</f>
        <v>0</v>
      </c>
      <c r="K36" s="634">
        <f>SUM(K21:K35)</f>
        <v>0</v>
      </c>
      <c r="L36" s="634">
        <f>SUM(L21:L35)</f>
        <v>0</v>
      </c>
      <c r="M36" s="634">
        <f>SUM(M21:M35)</f>
        <v>0</v>
      </c>
      <c r="N36" s="2"/>
      <c r="O36" s="2"/>
      <c r="P36" s="4"/>
    </row>
    <row r="37" spans="1:16">
      <c r="A37" s="267"/>
      <c r="B37" s="564"/>
      <c r="C37" s="51"/>
      <c r="D37" s="552"/>
      <c r="E37" s="549"/>
      <c r="F37" s="356"/>
      <c r="G37" s="2"/>
      <c r="H37" s="2"/>
      <c r="I37" s="629"/>
      <c r="J37" s="629"/>
      <c r="K37" s="629"/>
      <c r="L37" s="629"/>
      <c r="M37" s="629"/>
      <c r="N37" s="2"/>
      <c r="O37" s="2"/>
      <c r="P37" s="4"/>
    </row>
    <row r="38" spans="1:16">
      <c r="A38" s="264" t="s">
        <v>59</v>
      </c>
      <c r="B38" s="564"/>
      <c r="C38" s="51"/>
      <c r="D38" s="344"/>
      <c r="E38" s="549"/>
      <c r="F38" s="356"/>
      <c r="G38" s="2"/>
      <c r="H38" s="2"/>
      <c r="I38" s="629"/>
      <c r="J38" s="629"/>
      <c r="K38" s="629"/>
      <c r="L38" s="629"/>
      <c r="M38" s="629"/>
      <c r="N38" s="2"/>
      <c r="O38" s="2"/>
      <c r="P38" s="4"/>
    </row>
    <row r="39" spans="1:16">
      <c r="A39" s="267" t="s">
        <v>60</v>
      </c>
      <c r="B39" s="565"/>
      <c r="C39" s="371" t="s">
        <v>61</v>
      </c>
      <c r="D39" s="360">
        <f>'Devel. Bud'!B39*'Cons Int &amp; Neg Arb'!C74</f>
        <v>0</v>
      </c>
      <c r="E39" s="561"/>
      <c r="F39" s="265"/>
      <c r="G39" s="2"/>
      <c r="H39" s="2"/>
      <c r="I39" s="630"/>
      <c r="J39" s="630"/>
      <c r="K39" s="630"/>
      <c r="L39" s="630"/>
      <c r="M39" s="630"/>
      <c r="N39" s="2"/>
      <c r="O39" s="3"/>
      <c r="P39" s="6"/>
    </row>
    <row r="40" spans="1:16">
      <c r="A40" s="267" t="s">
        <v>62</v>
      </c>
      <c r="B40" s="565"/>
      <c r="C40" s="371" t="s">
        <v>63</v>
      </c>
      <c r="D40" s="360">
        <f>B40*'Cons Int &amp; Neg Arb'!C74*'Cons Int &amp; Neg Arb'!C16</f>
        <v>0</v>
      </c>
      <c r="E40" s="566"/>
      <c r="F40" s="266"/>
      <c r="G40" s="2"/>
      <c r="H40" s="2"/>
      <c r="I40" s="630"/>
      <c r="J40" s="630"/>
      <c r="K40" s="630"/>
      <c r="L40" s="630"/>
      <c r="M40" s="630"/>
      <c r="N40" s="49"/>
      <c r="O40" s="9"/>
      <c r="P40" s="4"/>
    </row>
    <row r="41" spans="1:16">
      <c r="A41" s="267" t="s">
        <v>64</v>
      </c>
      <c r="B41" s="565"/>
      <c r="C41" s="371" t="s">
        <v>65</v>
      </c>
      <c r="D41" s="360">
        <f>B41*$D$79</f>
        <v>0</v>
      </c>
      <c r="E41" s="566"/>
      <c r="F41" s="266"/>
      <c r="G41" s="2"/>
      <c r="H41" s="2"/>
      <c r="I41" s="630"/>
      <c r="J41" s="630"/>
      <c r="K41" s="630"/>
      <c r="L41" s="630"/>
      <c r="M41" s="630"/>
      <c r="N41" s="5"/>
      <c r="O41" s="5"/>
      <c r="P41" s="4"/>
    </row>
    <row r="42" spans="1:16">
      <c r="A42" s="267" t="s">
        <v>66</v>
      </c>
      <c r="B42" s="565"/>
      <c r="C42" s="371" t="s">
        <v>65</v>
      </c>
      <c r="D42" s="360">
        <f>B42*$D$79</f>
        <v>0</v>
      </c>
      <c r="E42" s="566"/>
      <c r="F42" s="266"/>
      <c r="G42" s="2"/>
      <c r="H42" s="2"/>
      <c r="I42" s="630"/>
      <c r="J42" s="630"/>
      <c r="K42" s="630"/>
      <c r="L42" s="630"/>
      <c r="M42" s="630"/>
      <c r="N42" s="5"/>
      <c r="O42" s="5"/>
      <c r="P42" s="4"/>
    </row>
    <row r="43" spans="1:16">
      <c r="A43" s="267" t="s">
        <v>67</v>
      </c>
      <c r="B43" s="565"/>
      <c r="C43" s="371" t="s">
        <v>65</v>
      </c>
      <c r="D43" s="360">
        <f>B43*$D$79</f>
        <v>0</v>
      </c>
      <c r="E43" s="561"/>
      <c r="F43" s="356"/>
      <c r="G43" s="2"/>
      <c r="H43" s="2"/>
      <c r="I43" s="630"/>
      <c r="J43" s="630"/>
      <c r="K43" s="630"/>
      <c r="L43" s="630"/>
      <c r="M43" s="630"/>
      <c r="N43" s="9"/>
      <c r="O43" s="5"/>
      <c r="P43" s="4"/>
    </row>
    <row r="44" spans="1:16">
      <c r="A44" s="267" t="s">
        <v>68</v>
      </c>
      <c r="B44" s="550"/>
      <c r="C44" s="355"/>
      <c r="D44" s="367"/>
      <c r="E44" s="561"/>
      <c r="F44" s="356"/>
      <c r="G44" s="2"/>
      <c r="H44" s="2"/>
      <c r="I44" s="630"/>
      <c r="J44" s="630"/>
      <c r="K44" s="630"/>
      <c r="L44" s="630"/>
      <c r="M44" s="630"/>
      <c r="N44" s="9"/>
      <c r="O44" s="5"/>
      <c r="P44" s="4"/>
    </row>
    <row r="45" spans="1:16">
      <c r="A45" s="267" t="s">
        <v>69</v>
      </c>
      <c r="B45" s="550"/>
      <c r="C45" s="355"/>
      <c r="D45" s="372"/>
      <c r="E45" s="549"/>
      <c r="F45" s="356"/>
      <c r="G45" s="2"/>
      <c r="H45" s="2"/>
      <c r="I45" s="630"/>
      <c r="J45" s="630"/>
      <c r="K45" s="630"/>
      <c r="L45" s="630"/>
      <c r="M45" s="630"/>
      <c r="N45" s="2"/>
      <c r="O45" s="2"/>
      <c r="P45" s="2"/>
    </row>
    <row r="46" spans="1:16">
      <c r="A46" s="267" t="s">
        <v>70</v>
      </c>
      <c r="B46" s="550"/>
      <c r="C46" s="355"/>
      <c r="D46" s="373"/>
      <c r="E46" s="567" t="s">
        <v>12</v>
      </c>
      <c r="F46" s="356"/>
      <c r="G46" s="2"/>
      <c r="H46" s="2"/>
      <c r="I46" s="629"/>
      <c r="J46" s="629"/>
      <c r="K46" s="629"/>
      <c r="L46" s="629"/>
      <c r="M46" s="629"/>
      <c r="N46" s="2"/>
      <c r="O46" s="2"/>
      <c r="P46" s="2"/>
    </row>
    <row r="47" spans="1:16" ht="19">
      <c r="A47" s="267" t="s">
        <v>71</v>
      </c>
      <c r="B47" s="550"/>
      <c r="C47" s="355"/>
      <c r="D47" s="155"/>
      <c r="E47" s="567"/>
      <c r="F47" s="356"/>
      <c r="G47" s="2"/>
      <c r="H47" s="2"/>
      <c r="I47" s="631"/>
      <c r="J47" s="631"/>
      <c r="K47" s="631"/>
      <c r="L47" s="631"/>
      <c r="M47" s="631"/>
      <c r="N47" s="2"/>
      <c r="O47" s="2"/>
      <c r="P47" s="2"/>
    </row>
    <row r="48" spans="1:16" ht="19">
      <c r="A48" s="267" t="s">
        <v>57</v>
      </c>
      <c r="B48" s="553"/>
      <c r="C48" s="355"/>
      <c r="D48" s="276"/>
      <c r="E48" s="559"/>
      <c r="F48" s="356"/>
      <c r="G48" s="2"/>
      <c r="H48" s="2"/>
      <c r="I48" s="635"/>
      <c r="J48" s="635"/>
      <c r="K48" s="635"/>
      <c r="L48" s="635"/>
      <c r="M48" s="635"/>
      <c r="N48" s="49"/>
      <c r="O48" s="9"/>
      <c r="P48" s="369"/>
    </row>
    <row r="49" spans="1:16">
      <c r="A49" s="262" t="s">
        <v>58</v>
      </c>
      <c r="B49" s="562"/>
      <c r="C49" s="370"/>
      <c r="D49" s="557">
        <f>SUM(D39:D48)</f>
        <v>0</v>
      </c>
      <c r="E49" s="549"/>
      <c r="F49" s="356"/>
      <c r="G49" s="2"/>
      <c r="H49" s="2"/>
      <c r="I49" s="632">
        <f>SUM(I39:I48)</f>
        <v>0</v>
      </c>
      <c r="J49" s="632">
        <f>SUM(J39:J48)</f>
        <v>0</v>
      </c>
      <c r="K49" s="632">
        <f>SUM(K39:K48)</f>
        <v>0</v>
      </c>
      <c r="L49" s="632">
        <f>SUM(L39:L48)</f>
        <v>0</v>
      </c>
      <c r="M49" s="632">
        <f>SUM(M39:M48)</f>
        <v>0</v>
      </c>
      <c r="N49" s="2"/>
      <c r="O49" s="2"/>
      <c r="P49" s="2"/>
    </row>
    <row r="50" spans="1:16">
      <c r="A50" s="374"/>
      <c r="B50" s="568"/>
      <c r="C50" s="355"/>
      <c r="D50" s="375"/>
      <c r="E50" s="549"/>
      <c r="F50" s="356"/>
      <c r="G50" s="2"/>
      <c r="H50" s="2"/>
      <c r="I50" s="629"/>
      <c r="J50" s="629"/>
      <c r="K50" s="629"/>
      <c r="L50" s="629"/>
      <c r="M50" s="629"/>
      <c r="N50" s="2"/>
      <c r="O50" s="2"/>
      <c r="P50" s="2"/>
    </row>
    <row r="51" spans="1:16">
      <c r="A51" s="264" t="s">
        <v>72</v>
      </c>
      <c r="B51" s="549"/>
      <c r="C51" s="355"/>
      <c r="D51" s="376"/>
      <c r="E51" s="549"/>
      <c r="F51" s="356"/>
      <c r="G51" s="2"/>
      <c r="H51" s="2"/>
      <c r="I51" s="636"/>
      <c r="J51" s="636"/>
      <c r="K51" s="636"/>
      <c r="L51" s="636"/>
      <c r="M51" s="636"/>
      <c r="N51" s="2"/>
      <c r="O51" s="2"/>
      <c r="P51" s="2"/>
    </row>
    <row r="52" spans="1:16">
      <c r="A52" s="267" t="s">
        <v>73</v>
      </c>
      <c r="B52" s="549"/>
      <c r="C52" s="365"/>
      <c r="D52" s="377" t="e">
        <f>'Cons Int &amp; Neg Arb'!F42</f>
        <v>#DIV/0!</v>
      </c>
      <c r="E52" s="561" t="s">
        <v>74</v>
      </c>
      <c r="F52" s="356"/>
      <c r="G52" s="2"/>
      <c r="H52" s="2"/>
      <c r="I52" s="637"/>
      <c r="J52" s="637"/>
      <c r="K52" s="637"/>
      <c r="L52" s="637"/>
      <c r="M52" s="637"/>
      <c r="N52" s="2"/>
      <c r="O52" s="2"/>
      <c r="P52" s="2"/>
    </row>
    <row r="53" spans="1:16">
      <c r="A53" s="267" t="s">
        <v>75</v>
      </c>
      <c r="B53" s="549"/>
      <c r="C53" s="355"/>
      <c r="D53" s="378" t="e">
        <f>'Cons Int &amp; Neg Arb'!B67</f>
        <v>#DIV/0!</v>
      </c>
      <c r="E53" s="561"/>
      <c r="F53" s="379"/>
      <c r="G53" s="2"/>
      <c r="H53" s="2"/>
      <c r="I53" s="637"/>
      <c r="J53" s="637"/>
      <c r="K53" s="637"/>
      <c r="L53" s="637"/>
      <c r="M53" s="637"/>
      <c r="N53" s="2"/>
      <c r="O53" s="2"/>
      <c r="P53" s="2"/>
    </row>
    <row r="54" spans="1:16">
      <c r="A54" s="267" t="s">
        <v>76</v>
      </c>
      <c r="B54" s="550"/>
      <c r="C54" s="2"/>
      <c r="D54" s="380"/>
      <c r="E54" s="561"/>
      <c r="F54" s="356"/>
      <c r="G54" s="2"/>
      <c r="H54" s="2"/>
      <c r="I54" s="630"/>
      <c r="J54" s="630"/>
      <c r="K54" s="630"/>
      <c r="L54" s="630"/>
      <c r="M54" s="630"/>
      <c r="N54" s="2"/>
      <c r="O54" s="2"/>
      <c r="P54" s="2"/>
    </row>
    <row r="55" spans="1:16">
      <c r="A55" s="267" t="s">
        <v>77</v>
      </c>
      <c r="B55" s="549"/>
      <c r="C55" s="2"/>
      <c r="D55" s="381"/>
      <c r="E55" s="549"/>
      <c r="F55" s="356"/>
      <c r="G55" s="2"/>
      <c r="H55" s="2"/>
      <c r="I55" s="629"/>
      <c r="J55" s="629"/>
      <c r="K55" s="629"/>
      <c r="L55" s="629"/>
      <c r="M55" s="629"/>
      <c r="N55" s="2"/>
      <c r="O55" s="2"/>
      <c r="P55" s="2"/>
    </row>
    <row r="56" spans="1:16">
      <c r="A56" s="267" t="s">
        <v>78</v>
      </c>
      <c r="B56" s="549"/>
      <c r="C56" s="2"/>
      <c r="D56" s="381"/>
      <c r="E56" s="549"/>
      <c r="F56" s="356"/>
      <c r="G56" s="2"/>
      <c r="H56" s="2"/>
      <c r="I56" s="629"/>
      <c r="J56" s="629"/>
      <c r="K56" s="629"/>
      <c r="L56" s="629"/>
      <c r="M56" s="629"/>
      <c r="N56" s="2"/>
      <c r="O56" s="2"/>
      <c r="P56" s="2"/>
    </row>
    <row r="57" spans="1:16">
      <c r="A57" s="267" t="s">
        <v>79</v>
      </c>
      <c r="B57" s="569"/>
      <c r="C57" s="2"/>
      <c r="D57" s="380"/>
      <c r="E57" s="570"/>
      <c r="F57" s="356"/>
      <c r="G57" s="2"/>
      <c r="H57" s="2"/>
      <c r="I57" s="630"/>
      <c r="J57" s="630"/>
      <c r="K57" s="630"/>
      <c r="L57" s="630"/>
      <c r="M57" s="630"/>
      <c r="N57" s="2"/>
      <c r="O57" s="2"/>
      <c r="P57" s="4"/>
    </row>
    <row r="58" spans="1:16">
      <c r="A58" s="267" t="s">
        <v>80</v>
      </c>
      <c r="B58" s="2"/>
      <c r="C58" s="2"/>
      <c r="D58" s="381"/>
      <c r="E58" s="2"/>
      <c r="F58" s="356"/>
      <c r="G58" s="2"/>
      <c r="H58" s="2"/>
      <c r="I58" s="629"/>
      <c r="J58" s="629"/>
      <c r="K58" s="629"/>
      <c r="L58" s="629"/>
      <c r="M58" s="629"/>
      <c r="N58" s="2"/>
      <c r="O58" s="2"/>
      <c r="P58" s="4"/>
    </row>
    <row r="59" spans="1:16">
      <c r="A59" s="267" t="s">
        <v>81</v>
      </c>
      <c r="B59" s="554"/>
      <c r="C59" s="382"/>
      <c r="D59" s="380"/>
      <c r="E59" s="549"/>
      <c r="F59" s="356"/>
      <c r="G59" s="2"/>
      <c r="H59" s="2"/>
      <c r="I59" s="630"/>
      <c r="J59" s="630"/>
      <c r="K59" s="630"/>
      <c r="L59" s="630"/>
      <c r="M59" s="630"/>
      <c r="N59" s="2"/>
      <c r="O59" s="2"/>
      <c r="P59" s="2"/>
    </row>
    <row r="60" spans="1:16">
      <c r="A60" s="267" t="s">
        <v>82</v>
      </c>
      <c r="B60" s="41"/>
      <c r="C60" s="41"/>
      <c r="D60" s="383"/>
      <c r="E60" s="56"/>
      <c r="F60" s="268"/>
      <c r="G60" s="51"/>
      <c r="H60" s="51"/>
      <c r="I60" s="638"/>
      <c r="J60" s="638"/>
      <c r="K60" s="638"/>
      <c r="L60" s="638"/>
      <c r="M60" s="638"/>
      <c r="N60" s="51"/>
      <c r="O60" s="51"/>
      <c r="P60" s="51"/>
    </row>
    <row r="61" spans="1:16" ht="19">
      <c r="A61" s="267" t="s">
        <v>57</v>
      </c>
      <c r="B61" s="553"/>
      <c r="C61" s="2"/>
      <c r="D61" s="275"/>
      <c r="E61" s="68"/>
      <c r="F61" s="356"/>
      <c r="G61" s="2"/>
      <c r="H61" s="2"/>
      <c r="I61" s="635"/>
      <c r="J61" s="635"/>
      <c r="K61" s="635"/>
      <c r="L61" s="635"/>
      <c r="M61" s="635"/>
      <c r="N61" s="49"/>
      <c r="O61" s="9"/>
      <c r="P61" s="369"/>
    </row>
    <row r="62" spans="1:16">
      <c r="A62" s="262" t="s">
        <v>58</v>
      </c>
      <c r="B62" s="41"/>
      <c r="C62" s="41"/>
      <c r="D62" s="571" t="e">
        <f>SUM(D52:D61)</f>
        <v>#DIV/0!</v>
      </c>
      <c r="E62" s="56"/>
      <c r="F62" s="268"/>
      <c r="G62" s="51"/>
      <c r="H62" s="51"/>
      <c r="I62" s="639">
        <f>SUM(I52:I61)</f>
        <v>0</v>
      </c>
      <c r="J62" s="639">
        <f>SUM(J52:J61)</f>
        <v>0</v>
      </c>
      <c r="K62" s="639">
        <f>SUM(K52:K61)</f>
        <v>0</v>
      </c>
      <c r="L62" s="639">
        <f>SUM(L52:L61)</f>
        <v>0</v>
      </c>
      <c r="M62" s="639">
        <f>SUM(M52:M61)</f>
        <v>0</v>
      </c>
      <c r="N62" s="51"/>
      <c r="O62" s="51"/>
      <c r="P62" s="51"/>
    </row>
    <row r="63" spans="1:16">
      <c r="A63" s="267"/>
      <c r="B63" s="549"/>
      <c r="C63" s="355"/>
      <c r="D63" s="572"/>
      <c r="E63" s="549"/>
      <c r="F63" s="356"/>
      <c r="G63" s="2"/>
      <c r="H63" s="2"/>
      <c r="I63" s="630"/>
      <c r="J63" s="630"/>
      <c r="K63" s="630"/>
      <c r="L63" s="630"/>
      <c r="M63" s="630"/>
      <c r="N63" s="2"/>
      <c r="O63" s="2"/>
      <c r="P63" s="2"/>
    </row>
    <row r="64" spans="1:16">
      <c r="A64" s="264" t="s">
        <v>83</v>
      </c>
      <c r="B64" s="549"/>
      <c r="C64" s="355"/>
      <c r="D64" s="572"/>
      <c r="E64" s="549"/>
      <c r="F64" s="356"/>
      <c r="G64" s="2"/>
      <c r="H64" s="2"/>
      <c r="I64" s="630"/>
      <c r="J64" s="630"/>
      <c r="K64" s="630"/>
      <c r="L64" s="630"/>
      <c r="M64" s="630"/>
      <c r="N64" s="2"/>
      <c r="O64" s="2"/>
      <c r="P64" s="2"/>
    </row>
    <row r="65" spans="1:16">
      <c r="A65" s="267" t="s">
        <v>84</v>
      </c>
      <c r="B65" s="549"/>
      <c r="C65" s="355"/>
      <c r="D65" s="573"/>
      <c r="E65" s="549"/>
      <c r="F65" s="356"/>
      <c r="G65" s="2"/>
      <c r="H65" s="2"/>
      <c r="I65" s="630"/>
      <c r="J65" s="630"/>
      <c r="K65" s="630"/>
      <c r="L65" s="630"/>
      <c r="M65" s="630"/>
      <c r="N65" s="2"/>
      <c r="O65" s="2"/>
      <c r="P65" s="2"/>
    </row>
    <row r="66" spans="1:16">
      <c r="A66" s="267" t="s">
        <v>85</v>
      </c>
      <c r="B66" s="574"/>
      <c r="C66" s="384" t="s">
        <v>86</v>
      </c>
      <c r="D66" s="572">
        <f>B66*'Units &amp; Income'!C23</f>
        <v>0</v>
      </c>
      <c r="E66" s="561"/>
      <c r="F66" s="356"/>
      <c r="G66" s="2"/>
      <c r="H66" s="2"/>
      <c r="I66" s="630"/>
      <c r="J66" s="630"/>
      <c r="K66" s="630"/>
      <c r="L66" s="630"/>
      <c r="M66" s="630"/>
      <c r="N66" s="2"/>
      <c r="O66" s="2"/>
      <c r="P66" s="2"/>
    </row>
    <row r="67" spans="1:16">
      <c r="A67" s="267" t="s">
        <v>87</v>
      </c>
      <c r="B67" s="549"/>
      <c r="C67" s="384"/>
      <c r="D67" s="573"/>
      <c r="E67" s="561"/>
      <c r="F67" s="356"/>
      <c r="G67" s="2"/>
      <c r="H67" s="2"/>
      <c r="I67" s="630"/>
      <c r="J67" s="630"/>
      <c r="K67" s="630"/>
      <c r="L67" s="630"/>
      <c r="M67" s="630"/>
      <c r="N67" s="2"/>
      <c r="O67" s="2"/>
      <c r="P67" s="2"/>
    </row>
    <row r="68" spans="1:16">
      <c r="A68" s="267" t="s">
        <v>88</v>
      </c>
      <c r="B68" s="549"/>
      <c r="C68" s="355"/>
      <c r="D68" s="575"/>
      <c r="E68" s="576" t="e">
        <f>D68/D71</f>
        <v>#DIV/0!</v>
      </c>
      <c r="F68" s="356" t="s">
        <v>89</v>
      </c>
      <c r="G68" s="2"/>
      <c r="H68" s="2"/>
      <c r="I68" s="640"/>
      <c r="J68" s="640"/>
      <c r="K68" s="640"/>
      <c r="L68" s="640"/>
      <c r="M68" s="640"/>
      <c r="N68" s="2"/>
      <c r="O68" s="2"/>
      <c r="P68" s="2"/>
    </row>
    <row r="69" spans="1:16">
      <c r="A69" s="269" t="s">
        <v>58</v>
      </c>
      <c r="B69" s="549"/>
      <c r="C69" s="355"/>
      <c r="D69" s="557">
        <f>SUM(D64:D68)</f>
        <v>0</v>
      </c>
      <c r="E69" s="566"/>
      <c r="F69" s="356"/>
      <c r="G69" s="5"/>
      <c r="H69" s="2"/>
      <c r="I69" s="632">
        <f>SUM(I64:I68)</f>
        <v>0</v>
      </c>
      <c r="J69" s="632">
        <f>SUM(J64:J68)</f>
        <v>0</v>
      </c>
      <c r="K69" s="632">
        <f>SUM(K64:K68)</f>
        <v>0</v>
      </c>
      <c r="L69" s="632">
        <f>SUM(L64:L68)</f>
        <v>0</v>
      </c>
      <c r="M69" s="632">
        <f>SUM(M64:M68)</f>
        <v>0</v>
      </c>
      <c r="N69" s="2"/>
      <c r="O69" s="2"/>
      <c r="P69" s="2"/>
    </row>
    <row r="70" spans="1:16">
      <c r="A70" s="267"/>
      <c r="B70" s="549"/>
      <c r="C70" s="355"/>
      <c r="D70" s="552"/>
      <c r="E70" s="566"/>
      <c r="F70" s="356"/>
      <c r="G70" s="5"/>
      <c r="H70" s="2"/>
      <c r="I70" s="629"/>
      <c r="J70" s="629"/>
      <c r="K70" s="629"/>
      <c r="L70" s="629"/>
      <c r="M70" s="629"/>
      <c r="N70" s="2"/>
      <c r="O70" s="2"/>
      <c r="P70" s="2"/>
    </row>
    <row r="71" spans="1:16">
      <c r="A71" s="264" t="s">
        <v>90</v>
      </c>
      <c r="B71" s="549"/>
      <c r="C71" s="355"/>
      <c r="D71" s="563" t="e">
        <f>D36+D49+D62+D69</f>
        <v>#DIV/0!</v>
      </c>
      <c r="E71" s="566"/>
      <c r="F71" s="356"/>
      <c r="G71" s="5"/>
      <c r="H71" s="2"/>
      <c r="I71" s="634">
        <f>I36+I49+I62+I69</f>
        <v>0</v>
      </c>
      <c r="J71" s="634">
        <f>J36+J49+J62+J69</f>
        <v>0</v>
      </c>
      <c r="K71" s="634">
        <f>K36+K49+K62+K69</f>
        <v>0</v>
      </c>
      <c r="L71" s="634">
        <f>L36+L49+L62+L69</f>
        <v>0</v>
      </c>
      <c r="M71" s="634">
        <f>M36+M49+M62+M69</f>
        <v>0</v>
      </c>
      <c r="N71" s="2"/>
      <c r="O71" s="2"/>
      <c r="P71" s="2"/>
    </row>
    <row r="72" spans="1:16">
      <c r="A72" s="267"/>
      <c r="B72" s="549"/>
      <c r="C72" s="355"/>
      <c r="D72" s="552"/>
      <c r="E72" s="577"/>
      <c r="F72" s="270"/>
      <c r="G72" s="2"/>
      <c r="H72" s="2"/>
      <c r="I72" s="629"/>
      <c r="J72" s="629"/>
      <c r="K72" s="629"/>
      <c r="L72" s="629"/>
      <c r="M72" s="629"/>
      <c r="N72" s="2"/>
      <c r="O72" s="2"/>
      <c r="P72" s="2"/>
    </row>
    <row r="73" spans="1:16">
      <c r="A73" s="264" t="s">
        <v>91</v>
      </c>
      <c r="B73" s="578"/>
      <c r="C73" s="385"/>
      <c r="D73" s="579"/>
      <c r="E73" s="580" t="e">
        <f>D73/(D76-D73)</f>
        <v>#DIV/0!</v>
      </c>
      <c r="F73" s="271" t="s">
        <v>92</v>
      </c>
      <c r="G73" s="2"/>
      <c r="H73" s="51"/>
      <c r="I73" s="632"/>
      <c r="J73" s="632"/>
      <c r="K73" s="632"/>
      <c r="L73" s="632"/>
      <c r="M73" s="632"/>
      <c r="N73" s="51"/>
      <c r="O73" s="51"/>
      <c r="P73" s="51"/>
    </row>
    <row r="74" spans="1:16">
      <c r="A74" s="267"/>
      <c r="B74" s="549"/>
      <c r="C74" s="355"/>
      <c r="D74" s="552"/>
      <c r="E74" s="549"/>
      <c r="F74" s="356"/>
      <c r="G74" s="51"/>
      <c r="H74" s="51"/>
      <c r="I74" s="629"/>
      <c r="J74" s="629"/>
      <c r="K74" s="629"/>
      <c r="L74" s="629"/>
      <c r="M74" s="629"/>
      <c r="N74" s="51"/>
      <c r="O74" s="51"/>
      <c r="P74" s="51"/>
    </row>
    <row r="75" spans="1:16">
      <c r="A75" s="267"/>
      <c r="B75" s="549"/>
      <c r="C75" s="355"/>
      <c r="D75" s="552"/>
      <c r="E75" s="549"/>
      <c r="F75" s="356"/>
      <c r="G75" s="51"/>
      <c r="H75" s="51"/>
      <c r="I75" s="629"/>
      <c r="J75" s="629"/>
      <c r="K75" s="629"/>
      <c r="L75" s="629"/>
      <c r="M75" s="629"/>
      <c r="N75" s="51"/>
      <c r="O75" s="51"/>
      <c r="P75" s="51"/>
    </row>
    <row r="76" spans="1:16">
      <c r="A76" s="272" t="s">
        <v>93</v>
      </c>
      <c r="B76" s="387"/>
      <c r="C76" s="388"/>
      <c r="D76" s="273" t="e">
        <f>D6+D16+D71+D73</f>
        <v>#DIV/0!</v>
      </c>
      <c r="E76" s="389"/>
      <c r="F76" s="390"/>
      <c r="G76" s="51"/>
      <c r="H76" s="51"/>
      <c r="I76" s="641">
        <f>I6+I16+I71+I73</f>
        <v>0</v>
      </c>
      <c r="J76" s="641">
        <f>J6+J16+J71+J73</f>
        <v>0</v>
      </c>
      <c r="K76" s="641">
        <f>K6+K16+K71+K73</f>
        <v>0</v>
      </c>
      <c r="L76" s="641">
        <f>L6+L16+L71+L73</f>
        <v>0</v>
      </c>
      <c r="M76" s="641">
        <f>M6+M16+M71+M73</f>
        <v>0</v>
      </c>
      <c r="N76" s="51"/>
      <c r="O76" s="51"/>
      <c r="P76" s="51"/>
    </row>
    <row r="77" spans="1:16" ht="12.75" customHeight="1">
      <c r="A77" s="2"/>
      <c r="B77" s="2"/>
      <c r="C77" s="2"/>
      <c r="D77" s="360"/>
      <c r="E77" s="51"/>
      <c r="F77" s="5"/>
      <c r="G77" s="51"/>
      <c r="H77" s="51"/>
      <c r="I77" s="630"/>
      <c r="J77" s="630"/>
      <c r="K77" s="630"/>
      <c r="L77" s="630"/>
      <c r="M77" s="630"/>
      <c r="N77" s="51"/>
      <c r="O77" s="51"/>
      <c r="P77" s="51"/>
    </row>
    <row r="78" spans="1:16">
      <c r="A78" s="1" t="s">
        <v>9</v>
      </c>
      <c r="B78" s="2"/>
      <c r="C78" s="171"/>
      <c r="D78" s="344"/>
      <c r="E78" s="391"/>
      <c r="F78" s="28"/>
      <c r="G78" s="2"/>
      <c r="H78" s="51"/>
      <c r="I78" s="354" t="s">
        <v>24</v>
      </c>
      <c r="J78" s="354" t="s">
        <v>25</v>
      </c>
      <c r="K78" s="354" t="s">
        <v>26</v>
      </c>
      <c r="L78" s="354" t="s">
        <v>27</v>
      </c>
      <c r="M78" s="354" t="s">
        <v>28</v>
      </c>
      <c r="N78" s="51"/>
      <c r="O78" s="51"/>
      <c r="P78" s="51"/>
    </row>
    <row r="79" spans="1:16">
      <c r="A79" s="3" t="str">
        <f t="shared" ref="A79:A86" si="0">A91</f>
        <v>First Mortgage (Lender:                                )</v>
      </c>
      <c r="B79" s="2"/>
      <c r="C79" s="171"/>
      <c r="D79" s="392"/>
      <c r="E79" s="9" t="e">
        <f>D79/$D$76</f>
        <v>#DIV/0!</v>
      </c>
      <c r="F79" s="51"/>
      <c r="G79" s="51"/>
      <c r="H79" s="51"/>
      <c r="I79" s="644">
        <v>0</v>
      </c>
      <c r="J79" s="644">
        <v>0</v>
      </c>
      <c r="K79" s="644">
        <v>0</v>
      </c>
      <c r="L79" s="644">
        <v>0</v>
      </c>
      <c r="M79" s="644">
        <v>0</v>
      </c>
      <c r="N79" s="51"/>
      <c r="O79" s="51"/>
      <c r="P79" s="51"/>
    </row>
    <row r="80" spans="1:16">
      <c r="A80" s="3" t="str">
        <f t="shared" si="0"/>
        <v>Second Mortgage (Lender:                                )</v>
      </c>
      <c r="B80" s="2"/>
      <c r="C80" s="171"/>
      <c r="D80" s="373">
        <f>D92</f>
        <v>0</v>
      </c>
      <c r="E80" s="9" t="e">
        <f t="shared" ref="E80:E86" si="1">D80/$D$76</f>
        <v>#DIV/0!</v>
      </c>
      <c r="F80" s="5"/>
      <c r="G80" s="51"/>
      <c r="H80" s="51"/>
      <c r="I80" s="644">
        <v>0</v>
      </c>
      <c r="J80" s="644">
        <v>0</v>
      </c>
      <c r="K80" s="644">
        <v>0</v>
      </c>
      <c r="L80" s="644">
        <v>0</v>
      </c>
      <c r="M80" s="644">
        <v>0</v>
      </c>
      <c r="N80" s="51"/>
      <c r="O80" s="51"/>
      <c r="P80" s="51"/>
    </row>
    <row r="81" spans="1:13">
      <c r="A81" s="3" t="str">
        <f t="shared" si="0"/>
        <v>Third Mortgage (Lender:                                )</v>
      </c>
      <c r="B81" s="51"/>
      <c r="C81" s="386"/>
      <c r="D81" s="373">
        <f>D93</f>
        <v>0</v>
      </c>
      <c r="E81" s="9" t="e">
        <f t="shared" si="1"/>
        <v>#DIV/0!</v>
      </c>
      <c r="F81" s="51"/>
      <c r="G81" s="51"/>
      <c r="H81" s="386"/>
      <c r="I81" s="644">
        <v>0</v>
      </c>
      <c r="J81" s="644">
        <v>0</v>
      </c>
      <c r="K81" s="644">
        <v>0</v>
      </c>
      <c r="L81" s="644">
        <v>0</v>
      </c>
      <c r="M81" s="644">
        <v>0</v>
      </c>
    </row>
    <row r="82" spans="1:13">
      <c r="A82" s="3" t="str">
        <f t="shared" si="0"/>
        <v>Fourth Mortgage (Lender:                                )</v>
      </c>
      <c r="B82" s="51"/>
      <c r="C82" s="386"/>
      <c r="D82" s="373">
        <f ca="1">D95</f>
        <v>0</v>
      </c>
      <c r="E82" s="9" t="e">
        <f t="shared" ca="1" si="1"/>
        <v>#DIV/0!</v>
      </c>
      <c r="F82" s="51"/>
      <c r="G82" s="51"/>
      <c r="H82" s="386"/>
      <c r="I82" s="644">
        <v>0</v>
      </c>
      <c r="J82" s="644">
        <v>0</v>
      </c>
      <c r="K82" s="644">
        <v>0</v>
      </c>
      <c r="L82" s="644">
        <v>0</v>
      </c>
      <c r="M82" s="644">
        <v>0</v>
      </c>
    </row>
    <row r="83" spans="1:13">
      <c r="A83" s="3" t="str">
        <f t="shared" si="0"/>
        <v>Other source (Specify:                                )</v>
      </c>
      <c r="B83" s="51"/>
      <c r="C83" s="386"/>
      <c r="D83" s="393"/>
      <c r="E83" s="9" t="e">
        <f t="shared" si="1"/>
        <v>#DIV/0!</v>
      </c>
      <c r="F83" s="51"/>
      <c r="G83" s="2"/>
      <c r="H83" s="386"/>
      <c r="I83" s="644">
        <v>0</v>
      </c>
      <c r="J83" s="644">
        <v>0</v>
      </c>
      <c r="K83" s="644">
        <v>0</v>
      </c>
      <c r="L83" s="644">
        <v>0</v>
      </c>
      <c r="M83" s="644">
        <v>0</v>
      </c>
    </row>
    <row r="84" spans="1:13">
      <c r="A84" s="3" t="str">
        <f t="shared" si="0"/>
        <v>Deferred Developer's Fee</v>
      </c>
      <c r="B84" s="51"/>
      <c r="C84" s="386"/>
      <c r="D84" s="367"/>
      <c r="E84" s="9" t="e">
        <f t="shared" si="1"/>
        <v>#DIV/0!</v>
      </c>
      <c r="F84" s="51"/>
      <c r="G84" s="2"/>
      <c r="H84" s="386"/>
      <c r="I84" s="644">
        <v>0</v>
      </c>
      <c r="J84" s="644">
        <v>0</v>
      </c>
      <c r="K84" s="644">
        <v>0</v>
      </c>
      <c r="L84" s="644">
        <v>0</v>
      </c>
      <c r="M84" s="644">
        <v>0</v>
      </c>
    </row>
    <row r="85" spans="1:13">
      <c r="A85" s="3" t="str">
        <f t="shared" si="0"/>
        <v>Developer Equity</v>
      </c>
      <c r="B85" s="51"/>
      <c r="C85" s="386"/>
      <c r="D85" s="393"/>
      <c r="E85" s="9" t="e">
        <f>D85/$D$76</f>
        <v>#DIV/0!</v>
      </c>
      <c r="F85" s="51"/>
      <c r="G85" s="2"/>
      <c r="H85" s="386"/>
      <c r="I85" s="644">
        <v>0</v>
      </c>
      <c r="J85" s="644">
        <v>0</v>
      </c>
      <c r="K85" s="644">
        <v>0</v>
      </c>
      <c r="L85" s="644">
        <v>0</v>
      </c>
      <c r="M85" s="644">
        <v>0</v>
      </c>
    </row>
    <row r="86" spans="1:13">
      <c r="A86" s="3" t="str">
        <f t="shared" si="0"/>
        <v>Other source (Specify:                                )</v>
      </c>
      <c r="B86" s="51"/>
      <c r="C86" s="386"/>
      <c r="D86" s="367"/>
      <c r="E86" s="9" t="e">
        <f t="shared" si="1"/>
        <v>#DIV/0!</v>
      </c>
      <c r="F86" s="51"/>
      <c r="G86" s="2"/>
      <c r="H86" s="386"/>
      <c r="I86" s="644">
        <v>0</v>
      </c>
      <c r="J86" s="644">
        <v>0</v>
      </c>
      <c r="K86" s="644">
        <v>0</v>
      </c>
      <c r="L86" s="644">
        <v>0</v>
      </c>
      <c r="M86" s="644">
        <v>0</v>
      </c>
    </row>
    <row r="87" spans="1:13">
      <c r="A87" s="3" t="s">
        <v>94</v>
      </c>
      <c r="B87" s="51"/>
      <c r="C87" s="386"/>
      <c r="D87" s="393" t="e">
        <f ca="1">D76-SUM(D79:D86)</f>
        <v>#DIV/0!</v>
      </c>
      <c r="E87" s="9" t="e">
        <f ca="1">D87/$D$76</f>
        <v>#DIV/0!</v>
      </c>
      <c r="F87" s="51"/>
      <c r="G87" s="2"/>
      <c r="H87" s="386"/>
      <c r="I87" s="642">
        <f>I76-SUM(I79:I86)</f>
        <v>0</v>
      </c>
      <c r="J87" s="642">
        <f>J76-SUM(J79:J86)</f>
        <v>0</v>
      </c>
      <c r="K87" s="642">
        <f>K76-SUM(K79:K86)</f>
        <v>0</v>
      </c>
      <c r="L87" s="642">
        <f>L76-SUM(L79:L86)</f>
        <v>0</v>
      </c>
      <c r="M87" s="642">
        <f>M76-SUM(M79:M86)</f>
        <v>0</v>
      </c>
    </row>
    <row r="88" spans="1:13">
      <c r="A88" s="2" t="s">
        <v>95</v>
      </c>
      <c r="B88" s="51"/>
      <c r="C88" s="386"/>
      <c r="D88" s="394">
        <f ca="1">SUM(D79:D86)</f>
        <v>0</v>
      </c>
      <c r="E88" s="9" t="e">
        <f>SUM(E79:E86)</f>
        <v>#DIV/0!</v>
      </c>
      <c r="F88" s="51"/>
      <c r="G88" s="2"/>
      <c r="H88" s="386"/>
      <c r="I88" s="643">
        <f>SUM(I79:I86)</f>
        <v>0</v>
      </c>
      <c r="J88" s="643">
        <f>SUM(J79:J86)</f>
        <v>0</v>
      </c>
      <c r="K88" s="643">
        <f>SUM(K79:K86)</f>
        <v>0</v>
      </c>
      <c r="L88" s="643">
        <f>SUM(L79:L86)</f>
        <v>0</v>
      </c>
      <c r="M88" s="643">
        <f>SUM(M79:M86)</f>
        <v>0</v>
      </c>
    </row>
    <row r="89" spans="1:13">
      <c r="A89" s="51"/>
      <c r="B89" s="51"/>
      <c r="C89" s="386"/>
      <c r="D89" s="360" t="s">
        <v>12</v>
      </c>
      <c r="E89" s="51"/>
      <c r="F89"/>
      <c r="G89" s="2"/>
      <c r="H89" s="51"/>
      <c r="I89" s="630" t="s">
        <v>12</v>
      </c>
      <c r="J89" s="630" t="s">
        <v>12</v>
      </c>
      <c r="K89" s="630" t="s">
        <v>12</v>
      </c>
      <c r="L89" s="630" t="s">
        <v>12</v>
      </c>
      <c r="M89" s="630" t="s">
        <v>12</v>
      </c>
    </row>
    <row r="90" spans="1:13">
      <c r="A90" s="1" t="s">
        <v>14</v>
      </c>
      <c r="B90" s="2"/>
      <c r="C90" s="171"/>
      <c r="D90" s="344"/>
      <c r="E90" s="5"/>
      <c r="F90" s="5"/>
      <c r="G90" s="2"/>
      <c r="H90" s="51"/>
      <c r="I90" s="629"/>
      <c r="J90" s="629"/>
      <c r="K90" s="629"/>
      <c r="L90" s="629"/>
      <c r="M90" s="629"/>
    </row>
    <row r="91" spans="1:13">
      <c r="A91" s="3" t="s">
        <v>96</v>
      </c>
      <c r="B91" s="2"/>
      <c r="C91" s="171"/>
      <c r="D91" s="395" t="e">
        <f>FIRST</f>
        <v>#DIV/0!</v>
      </c>
      <c r="E91" s="9" t="e">
        <f>D91/$D$76</f>
        <v>#DIV/0!</v>
      </c>
      <c r="F91" s="5"/>
      <c r="G91" s="2"/>
      <c r="H91" s="51"/>
      <c r="I91" s="644">
        <v>0</v>
      </c>
      <c r="J91" s="644">
        <v>0</v>
      </c>
      <c r="K91" s="644">
        <v>0</v>
      </c>
      <c r="L91" s="644">
        <v>0</v>
      </c>
      <c r="M91" s="644">
        <v>0</v>
      </c>
    </row>
    <row r="92" spans="1:13">
      <c r="A92" s="3" t="s">
        <v>97</v>
      </c>
      <c r="B92" s="2"/>
      <c r="C92" s="171"/>
      <c r="D92" s="395">
        <f>Mort!I30</f>
        <v>0</v>
      </c>
      <c r="E92" s="9" t="e">
        <f t="shared" ref="E92:E98" si="2">D92/$D$76</f>
        <v>#DIV/0!</v>
      </c>
      <c r="F92" s="2"/>
      <c r="G92" s="11"/>
      <c r="H92" s="11"/>
      <c r="I92" s="644">
        <v>0</v>
      </c>
      <c r="J92" s="644">
        <v>0</v>
      </c>
      <c r="K92" s="644">
        <v>0</v>
      </c>
      <c r="L92" s="644">
        <v>0</v>
      </c>
      <c r="M92" s="644">
        <v>0</v>
      </c>
    </row>
    <row r="93" spans="1:13">
      <c r="A93" s="3" t="s">
        <v>98</v>
      </c>
      <c r="B93" s="2"/>
      <c r="C93" s="171"/>
      <c r="D93" s="395">
        <f>Mort!J30</f>
        <v>0</v>
      </c>
      <c r="E93" s="9" t="e">
        <f t="shared" si="2"/>
        <v>#DIV/0!</v>
      </c>
      <c r="F93" s="344"/>
      <c r="G93" s="11"/>
      <c r="H93" s="396"/>
      <c r="I93" s="644">
        <v>0</v>
      </c>
      <c r="J93" s="644">
        <v>0</v>
      </c>
      <c r="K93" s="644">
        <v>0</v>
      </c>
      <c r="L93" s="644">
        <v>0</v>
      </c>
      <c r="M93" s="644">
        <v>0</v>
      </c>
    </row>
    <row r="94" spans="1:13">
      <c r="A94" s="3" t="s">
        <v>99</v>
      </c>
      <c r="B94" s="2"/>
      <c r="C94" s="171"/>
      <c r="D94" s="351"/>
      <c r="E94" s="9" t="e">
        <f ca="1">D95/$D$76</f>
        <v>#DIV/0!</v>
      </c>
      <c r="F94" s="2"/>
      <c r="G94" s="29"/>
      <c r="H94" s="396"/>
      <c r="I94" s="644">
        <v>0</v>
      </c>
      <c r="J94" s="644">
        <v>0</v>
      </c>
      <c r="K94" s="644">
        <v>0</v>
      </c>
      <c r="L94" s="644">
        <v>0</v>
      </c>
      <c r="M94" s="644">
        <v>0</v>
      </c>
    </row>
    <row r="95" spans="1:13">
      <c r="A95" s="3" t="s">
        <v>100</v>
      </c>
      <c r="B95" s="2"/>
      <c r="C95" s="171"/>
      <c r="D95" s="395">
        <f ca="1">D82</f>
        <v>0</v>
      </c>
      <c r="E95" s="9" t="e">
        <f>#REF!/$D$76</f>
        <v>#REF!</v>
      </c>
      <c r="F95" s="7"/>
      <c r="G95" s="79"/>
      <c r="H95" s="396"/>
      <c r="I95" s="644">
        <v>0</v>
      </c>
      <c r="J95" s="644">
        <v>0</v>
      </c>
      <c r="K95" s="644">
        <v>0</v>
      </c>
      <c r="L95" s="644">
        <v>0</v>
      </c>
      <c r="M95" s="644">
        <v>0</v>
      </c>
    </row>
    <row r="96" spans="1:13">
      <c r="A96" s="3" t="s">
        <v>101</v>
      </c>
      <c r="B96" s="2"/>
      <c r="C96" s="171"/>
      <c r="D96" s="367" t="e">
        <f>'Cash Flow'!C28</f>
        <v>#DIV/0!</v>
      </c>
      <c r="E96" s="9" t="e">
        <f t="shared" si="2"/>
        <v>#DIV/0!</v>
      </c>
      <c r="F96" s="7"/>
      <c r="G96" s="79"/>
      <c r="H96" s="396"/>
      <c r="I96" s="644">
        <v>0</v>
      </c>
      <c r="J96" s="644">
        <v>0</v>
      </c>
      <c r="K96" s="644">
        <v>0</v>
      </c>
      <c r="L96" s="644">
        <v>0</v>
      </c>
      <c r="M96" s="644">
        <v>0</v>
      </c>
    </row>
    <row r="97" spans="1:13">
      <c r="A97" s="3" t="s">
        <v>102</v>
      </c>
      <c r="B97" s="2"/>
      <c r="C97" s="171"/>
      <c r="D97" s="393"/>
      <c r="E97" s="9" t="e">
        <f>D97/$D$76</f>
        <v>#DIV/0!</v>
      </c>
      <c r="F97" s="7"/>
      <c r="G97" s="79"/>
      <c r="H97" s="396"/>
      <c r="I97" s="644">
        <v>0</v>
      </c>
      <c r="J97" s="644">
        <v>0</v>
      </c>
      <c r="K97" s="644">
        <v>0</v>
      </c>
      <c r="L97" s="644">
        <v>0</v>
      </c>
      <c r="M97" s="644">
        <v>0</v>
      </c>
    </row>
    <row r="98" spans="1:13" ht="15" customHeight="1">
      <c r="A98" s="3" t="s">
        <v>103</v>
      </c>
      <c r="B98" s="2"/>
      <c r="C98" s="171"/>
      <c r="D98" s="367"/>
      <c r="E98" s="9" t="e">
        <f t="shared" si="2"/>
        <v>#DIV/0!</v>
      </c>
      <c r="F98" s="5"/>
      <c r="G98" s="2"/>
      <c r="H98" s="51"/>
      <c r="I98" s="644">
        <v>0</v>
      </c>
      <c r="J98" s="644">
        <v>0</v>
      </c>
      <c r="K98" s="644">
        <v>0</v>
      </c>
      <c r="L98" s="644">
        <v>0</v>
      </c>
      <c r="M98" s="644">
        <v>0</v>
      </c>
    </row>
    <row r="99" spans="1:13">
      <c r="A99" s="3" t="s">
        <v>94</v>
      </c>
      <c r="B99" s="2"/>
      <c r="C99" s="171"/>
      <c r="D99" s="393" t="e">
        <f>D76-SUM(D91:D98)</f>
        <v>#DIV/0!</v>
      </c>
      <c r="E99" s="9" t="e">
        <f>D99/$D$76</f>
        <v>#DIV/0!</v>
      </c>
      <c r="F99" s="7"/>
      <c r="G99" s="79"/>
      <c r="H99" s="396"/>
      <c r="I99" s="642">
        <f>I76-SUM(I91:I98)</f>
        <v>0</v>
      </c>
      <c r="J99" s="642">
        <f>J76-SUM(J91:J98)</f>
        <v>0</v>
      </c>
      <c r="K99" s="642">
        <f>K76-SUM(K91:K98)</f>
        <v>0</v>
      </c>
      <c r="L99" s="642">
        <f>L76-SUM(L91:L98)</f>
        <v>0</v>
      </c>
      <c r="M99" s="642">
        <f>M76-SUM(M91:M98)</f>
        <v>0</v>
      </c>
    </row>
    <row r="100" spans="1:13">
      <c r="A100" s="2" t="str">
        <f>A88</f>
        <v>Total</v>
      </c>
      <c r="B100" s="37"/>
      <c r="C100" s="171"/>
      <c r="D100" s="395" t="e">
        <f>SUM(D91:D99)</f>
        <v>#DIV/0!</v>
      </c>
      <c r="E100" s="9" t="e">
        <f>SUM(E91:E99)</f>
        <v>#DIV/0!</v>
      </c>
      <c r="F100" s="5"/>
      <c r="G100" s="51"/>
      <c r="H100" s="51"/>
      <c r="I100" s="645">
        <f>SUM(I91:I99)</f>
        <v>0</v>
      </c>
      <c r="J100" s="645">
        <f>SUM(J91:J99)</f>
        <v>0</v>
      </c>
      <c r="K100" s="645">
        <f>SUM(K91:K99)</f>
        <v>0</v>
      </c>
      <c r="L100" s="645">
        <f>SUM(L91:L99)</f>
        <v>0</v>
      </c>
      <c r="M100" s="645">
        <f>SUM(M91:M99)</f>
        <v>0</v>
      </c>
    </row>
    <row r="101" spans="1:13">
      <c r="A101" s="2"/>
      <c r="B101" s="37"/>
      <c r="C101" s="65"/>
      <c r="D101" s="60"/>
      <c r="E101" s="9"/>
      <c r="F101" s="7"/>
      <c r="G101" s="2"/>
      <c r="H101" s="51"/>
      <c r="I101" s="60"/>
      <c r="J101" s="60"/>
      <c r="K101" s="60"/>
      <c r="L101" s="60"/>
      <c r="M101" s="60"/>
    </row>
    <row r="102" spans="1:13">
      <c r="A102" s="2"/>
      <c r="B102" s="2"/>
      <c r="C102" s="171"/>
      <c r="D102" s="344"/>
      <c r="E102" s="9"/>
      <c r="F102" s="5"/>
      <c r="G102" s="51"/>
      <c r="H102" s="51"/>
      <c r="I102" s="344"/>
      <c r="J102" s="344"/>
      <c r="K102" s="344"/>
      <c r="L102" s="344"/>
      <c r="M102" s="344"/>
    </row>
    <row r="103" spans="1:13">
      <c r="A103" s="2"/>
      <c r="B103" s="2"/>
      <c r="C103" s="171"/>
      <c r="D103" s="344"/>
      <c r="E103" s="5"/>
      <c r="F103" s="5"/>
      <c r="G103" s="51"/>
      <c r="H103" s="51"/>
      <c r="I103" s="344"/>
      <c r="J103" s="344"/>
      <c r="K103" s="344"/>
      <c r="L103" s="344"/>
      <c r="M103" s="344"/>
    </row>
    <row r="104" spans="1:13">
      <c r="A104" s="11"/>
      <c r="B104" s="11"/>
      <c r="C104" s="66"/>
      <c r="D104" s="59"/>
      <c r="E104" s="2"/>
      <c r="F104" s="80"/>
      <c r="G104" s="51"/>
      <c r="H104" s="51"/>
      <c r="I104" s="59"/>
      <c r="J104" s="59"/>
      <c r="K104" s="59"/>
      <c r="L104" s="59"/>
      <c r="M104" s="59"/>
    </row>
    <row r="105" spans="1:13">
      <c r="A105" s="16"/>
      <c r="B105" s="13"/>
      <c r="C105" s="386"/>
      <c r="D105" s="351"/>
      <c r="E105" s="51"/>
      <c r="F105" s="51"/>
      <c r="G105" s="51"/>
      <c r="H105" s="51"/>
      <c r="I105" s="351"/>
      <c r="J105" s="351"/>
      <c r="K105" s="351"/>
      <c r="L105" s="351"/>
      <c r="M105" s="351"/>
    </row>
    <row r="106" spans="1:13">
      <c r="A106" s="51"/>
      <c r="B106" s="51"/>
      <c r="C106" s="386"/>
      <c r="D106" s="351"/>
      <c r="E106" s="51"/>
      <c r="F106" s="51"/>
      <c r="G106" s="51"/>
      <c r="H106" s="51"/>
      <c r="I106" s="351"/>
      <c r="J106" s="351"/>
      <c r="K106" s="351"/>
      <c r="L106" s="351"/>
      <c r="M106" s="351"/>
    </row>
    <row r="107" spans="1:13">
      <c r="A107" s="51"/>
      <c r="B107" s="51"/>
      <c r="C107" s="386"/>
      <c r="D107" s="351"/>
      <c r="E107" s="51"/>
      <c r="F107" s="51"/>
      <c r="G107" s="51"/>
      <c r="H107" s="51"/>
      <c r="I107" s="351"/>
      <c r="J107" s="351"/>
      <c r="K107" s="351"/>
      <c r="L107" s="351"/>
      <c r="M107" s="351"/>
    </row>
    <row r="108" spans="1:13">
      <c r="A108" s="51"/>
      <c r="B108" s="51"/>
      <c r="C108" s="386"/>
      <c r="D108" s="351"/>
      <c r="E108" s="51"/>
      <c r="F108" s="51"/>
      <c r="G108" s="51"/>
      <c r="H108" s="51"/>
      <c r="I108" s="351"/>
      <c r="J108" s="351"/>
      <c r="K108" s="351"/>
      <c r="L108" s="351"/>
      <c r="M108" s="351"/>
    </row>
    <row r="109" spans="1:13">
      <c r="A109" s="51"/>
      <c r="B109" s="51"/>
      <c r="C109" s="386"/>
      <c r="D109" s="351"/>
      <c r="E109" s="51"/>
      <c r="F109" s="51"/>
      <c r="G109" s="51"/>
      <c r="H109" s="51"/>
      <c r="I109" s="351"/>
      <c r="J109" s="351"/>
      <c r="K109" s="351"/>
      <c r="L109" s="351"/>
      <c r="M109" s="351"/>
    </row>
  </sheetData>
  <customSheetViews>
    <customSheetView guid="{25C4E7E7-1006-4A2D-BC83-AEE4ADF8A914}" scale="70" colorId="22" showPageBreaks="1" fitToPage="1" printArea="1" hiddenRows="1" showRuler="0" topLeftCell="A31">
      <selection activeCell="A42" sqref="A42"/>
      <pageMargins left="0" right="0" top="0" bottom="0" header="0" footer="0"/>
      <pageSetup scale="49" orientation="portrait" r:id="rId1"/>
      <headerFooter alignWithMargins="0"/>
    </customSheetView>
    <customSheetView guid="{28F81D13-D146-4D67-8981-BA5D7A496326}" scale="75" colorId="22" showPageBreaks="1" fitToPage="1" printArea="1" showRuler="0" topLeftCell="C1">
      <selection activeCell="G77" sqref="A1:G77"/>
      <pageMargins left="0" right="0" top="0" bottom="0" header="0" footer="0"/>
      <pageSetup scale="61" orientation="portrait" r:id="rId2"/>
      <headerFooter alignWithMargins="0"/>
    </customSheetView>
    <customSheetView guid="{AEA5979F-5357-4ED6-A6CA-1BB80F5C7A74}" scale="75" colorId="22" showPageBreaks="1" fitToPage="1" printArea="1" showRuler="0" topLeftCell="A49">
      <selection activeCell="C83" sqref="C83"/>
      <pageMargins left="0" right="0" top="0" bottom="0" header="0" footer="0"/>
      <pageSetup scale="61" orientation="portrait" r:id="rId3"/>
      <headerFooter alignWithMargins="0"/>
    </customSheetView>
    <customSheetView guid="{EB776EFC-3589-4DB5-BEAF-1E83D9703F9E}" scale="75" colorId="22" fitToPage="1" hiddenColumns="1" showRuler="0" topLeftCell="A52">
      <selection activeCell="F56" sqref="F56"/>
      <pageMargins left="0" right="0" top="0" bottom="0" header="0" footer="0"/>
      <pageSetup scale="63" orientation="portrait" r:id="rId4"/>
      <headerFooter alignWithMargins="0"/>
    </customSheetView>
    <customSheetView guid="{FBB4BF8E-8A9F-4E98-A6F9-5F9BF4C55C67}" scale="75" colorId="22" showPageBreaks="1" fitToPage="1" printArea="1" hiddenColumns="1" showRuler="0" topLeftCell="B49">
      <selection activeCell="F54" sqref="F54"/>
      <pageMargins left="0" right="0" top="0" bottom="0" header="0" footer="0"/>
      <pageSetup scale="64" orientation="portrait" r:id="rId5"/>
      <headerFooter alignWithMargins="0"/>
    </customSheetView>
    <customSheetView guid="{6EF643BE-69F3-424E-8A44-3890161370D4}" scale="75" colorId="22" showPageBreaks="1" fitToPage="1" printArea="1" showRuler="0">
      <selection activeCell="E77" sqref="E77"/>
      <pageMargins left="0" right="0" top="0" bottom="0" header="0" footer="0"/>
      <pageSetup scale="67" orientation="portrait" r:id="rId6"/>
      <headerFooter alignWithMargins="0"/>
    </customSheetView>
    <customSheetView guid="{1ECE83C7-A3CE-4F97-BFD3-498FF783C0D9}" scale="70" colorId="22" showPageBreaks="1" fitToPage="1" printArea="1" showRuler="0" topLeftCell="A34">
      <selection activeCell="A60" sqref="A60"/>
      <pageMargins left="0" right="0" top="0" bottom="0" header="0" footer="0"/>
      <pageSetup scale="53" orientation="portrait" r:id="rId7"/>
      <headerFooter alignWithMargins="0"/>
    </customSheetView>
    <customSheetView guid="{560D4AFA-61E5-46C3-B0CD-D0EB3053A033}" scale="70" colorId="22" showPageBreaks="1" fitToPage="1" printArea="1" hiddenRows="1" showRuler="0">
      <selection activeCell="I23" sqref="I23"/>
      <pageMargins left="0" right="0" top="0" bottom="0" header="0" footer="0"/>
      <pageSetup scale="49" orientation="portrait" r:id="rId8"/>
      <headerFooter alignWithMargins="0"/>
    </customSheetView>
  </customSheetViews>
  <phoneticPr fontId="0" type="noConversion"/>
  <pageMargins left="0.75" right="0.5" top="0.75" bottom="0.5" header="0.5" footer="0.5"/>
  <pageSetup scale="46" firstPageNumber="207" orientation="portrait" useFirstPageNumber="1"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6"/>
  <sheetViews>
    <sheetView topLeftCell="A43" zoomScale="85" zoomScaleNormal="85" zoomScaleSheetLayoutView="55" workbookViewId="0">
      <selection activeCell="E49" sqref="E49"/>
    </sheetView>
  </sheetViews>
  <sheetFormatPr baseColWidth="10" defaultColWidth="8.85546875" defaultRowHeight="16"/>
  <cols>
    <col min="1" max="1" width="27.140625" style="25" bestFit="1" customWidth="1"/>
    <col min="2" max="2" width="15" style="25" customWidth="1"/>
    <col min="3" max="3" width="14.7109375" style="25" customWidth="1"/>
    <col min="4" max="4" width="17.5703125" style="25" customWidth="1"/>
    <col min="5" max="5" width="10.85546875" style="25" customWidth="1"/>
    <col min="6" max="6" width="15.85546875" style="25" customWidth="1"/>
    <col min="7" max="7" width="11.7109375" style="25" bestFit="1" customWidth="1"/>
    <col min="8" max="8" width="12.85546875" style="25" customWidth="1"/>
    <col min="9" max="16384" width="8.85546875" style="25"/>
  </cols>
  <sheetData>
    <row r="1" spans="1:6">
      <c r="A1" s="1" t="str">
        <f>'Devel. Bud'!A1</f>
        <v xml:space="preserve">Project Name: </v>
      </c>
      <c r="B1" s="51"/>
      <c r="C1" s="51"/>
      <c r="D1" s="51"/>
      <c r="E1" s="43"/>
      <c r="F1" s="43"/>
    </row>
    <row r="2" spans="1:6">
      <c r="A2" s="1" t="str">
        <f>'Devel. Bud'!A2</f>
        <v>Site:</v>
      </c>
      <c r="B2" s="51"/>
      <c r="C2" s="51"/>
      <c r="D2" s="51"/>
      <c r="E2" s="43" t="str">
        <f>'Sources and Use'!C2</f>
        <v>Units:</v>
      </c>
      <c r="F2" s="43">
        <f>'Units &amp; Income'!C23</f>
        <v>0</v>
      </c>
    </row>
    <row r="3" spans="1:6">
      <c r="A3" s="19"/>
      <c r="B3" s="51"/>
      <c r="C3" s="51"/>
      <c r="D3" s="51"/>
      <c r="E3" s="378"/>
      <c r="F3" s="51"/>
    </row>
    <row r="4" spans="1:6">
      <c r="A4" s="19" t="s">
        <v>104</v>
      </c>
      <c r="B4" s="51"/>
      <c r="C4" s="51"/>
      <c r="D4" s="51"/>
      <c r="E4" s="378"/>
      <c r="F4" s="51"/>
    </row>
    <row r="5" spans="1:6">
      <c r="A5" s="19"/>
      <c r="B5" s="51"/>
      <c r="C5" s="51"/>
      <c r="D5" s="51"/>
      <c r="E5" s="378"/>
      <c r="F5" s="51"/>
    </row>
    <row r="6" spans="1:6">
      <c r="A6" s="19"/>
      <c r="B6" s="51"/>
      <c r="C6" s="51"/>
      <c r="D6" s="51"/>
      <c r="E6" s="378"/>
      <c r="F6" s="51"/>
    </row>
    <row r="7" spans="1:6">
      <c r="A7" s="19" t="s">
        <v>105</v>
      </c>
      <c r="B7" s="397"/>
      <c r="C7" s="397" t="s">
        <v>106</v>
      </c>
      <c r="D7" s="51"/>
      <c r="E7" s="51"/>
      <c r="F7" s="51"/>
    </row>
    <row r="8" spans="1:6">
      <c r="A8" s="397" t="s">
        <v>107</v>
      </c>
      <c r="B8" s="360" t="e">
        <f>'Devel. Bud'!D91</f>
        <v>#DIV/0!</v>
      </c>
      <c r="C8" s="398" t="e">
        <f>B8/B10</f>
        <v>#DIV/0!</v>
      </c>
      <c r="D8" s="51"/>
      <c r="E8" s="51"/>
      <c r="F8" s="51"/>
    </row>
    <row r="9" spans="1:6">
      <c r="A9" s="397" t="s">
        <v>108</v>
      </c>
      <c r="B9" s="378" t="e">
        <f>B10-B8</f>
        <v>#DIV/0!</v>
      </c>
      <c r="C9" s="398" t="e">
        <f>B9/B10</f>
        <v>#DIV/0!</v>
      </c>
      <c r="D9" s="51"/>
      <c r="E9" s="51"/>
      <c r="F9" s="51"/>
    </row>
    <row r="10" spans="1:6">
      <c r="A10" s="397" t="s">
        <v>109</v>
      </c>
      <c r="B10" s="82">
        <f>'Devel. Bud'!D79</f>
        <v>0</v>
      </c>
      <c r="C10" s="51"/>
      <c r="D10" s="51"/>
      <c r="E10" s="51"/>
      <c r="F10" s="51"/>
    </row>
    <row r="11" spans="1:6">
      <c r="A11" s="41"/>
      <c r="B11" s="51"/>
      <c r="C11" s="51"/>
      <c r="D11" s="51"/>
      <c r="E11" s="51"/>
      <c r="F11" s="51"/>
    </row>
    <row r="12" spans="1:6">
      <c r="A12" s="41"/>
      <c r="B12" s="51"/>
      <c r="C12" s="51"/>
      <c r="D12" s="51"/>
      <c r="E12" s="51"/>
      <c r="F12" s="51"/>
    </row>
    <row r="13" spans="1:6">
      <c r="A13" s="43" t="s">
        <v>110</v>
      </c>
      <c r="B13" s="397" t="s">
        <v>111</v>
      </c>
      <c r="C13" s="397" t="s">
        <v>112</v>
      </c>
      <c r="D13" s="51"/>
      <c r="E13" s="51"/>
      <c r="F13" s="51"/>
    </row>
    <row r="14" spans="1:6">
      <c r="A14" s="397" t="s">
        <v>113</v>
      </c>
      <c r="B14" s="651"/>
      <c r="C14" s="399">
        <f>B14/12</f>
        <v>0</v>
      </c>
      <c r="D14" s="51"/>
      <c r="E14" s="378"/>
      <c r="F14" s="51"/>
    </row>
    <row r="15" spans="1:6">
      <c r="A15" s="397" t="s">
        <v>114</v>
      </c>
      <c r="B15" s="651"/>
      <c r="C15" s="399">
        <f>B15/12</f>
        <v>0</v>
      </c>
      <c r="D15" s="51"/>
      <c r="E15" s="378"/>
      <c r="F15" s="51"/>
    </row>
    <row r="16" spans="1:6">
      <c r="A16" s="397" t="s">
        <v>115</v>
      </c>
      <c r="B16" s="51">
        <f>B14+B15</f>
        <v>0</v>
      </c>
      <c r="C16" s="399">
        <f>B16/12</f>
        <v>0</v>
      </c>
      <c r="D16" s="51"/>
      <c r="E16" s="378"/>
      <c r="F16" s="51"/>
    </row>
    <row r="17" spans="1:6">
      <c r="A17" s="397"/>
      <c r="B17" s="51"/>
      <c r="C17" s="51"/>
      <c r="D17" s="51"/>
      <c r="E17" s="378"/>
      <c r="F17" s="51"/>
    </row>
    <row r="18" spans="1:6">
      <c r="A18" s="397"/>
      <c r="B18" s="51"/>
      <c r="C18" s="51"/>
      <c r="D18" s="51"/>
      <c r="E18" s="378"/>
      <c r="F18" s="51"/>
    </row>
    <row r="19" spans="1:6">
      <c r="A19" s="43" t="s">
        <v>116</v>
      </c>
      <c r="B19" s="51"/>
      <c r="C19" s="51"/>
      <c r="D19" s="51"/>
      <c r="E19" s="400"/>
      <c r="F19" s="400"/>
    </row>
    <row r="20" spans="1:6">
      <c r="A20" s="397" t="s">
        <v>117</v>
      </c>
      <c r="B20" s="652"/>
      <c r="C20" s="398"/>
      <c r="D20" s="401"/>
      <c r="E20" s="378"/>
      <c r="F20" s="51"/>
    </row>
    <row r="21" spans="1:6">
      <c r="A21" s="397" t="s">
        <v>118</v>
      </c>
      <c r="B21" s="652"/>
      <c r="C21" s="40"/>
      <c r="D21" s="397"/>
      <c r="E21" s="378"/>
      <c r="F21" s="51"/>
    </row>
    <row r="22" spans="1:6">
      <c r="A22" s="397" t="s">
        <v>119</v>
      </c>
      <c r="B22" s="652"/>
      <c r="C22" s="398"/>
      <c r="D22" s="51"/>
      <c r="E22" s="378"/>
      <c r="F22" s="51"/>
    </row>
    <row r="23" spans="1:6">
      <c r="A23" s="397" t="s">
        <v>120</v>
      </c>
      <c r="B23" s="652"/>
      <c r="C23" s="398"/>
      <c r="D23" s="51"/>
      <c r="E23" s="378"/>
      <c r="F23" s="51"/>
    </row>
    <row r="24" spans="1:6">
      <c r="A24" s="397" t="s">
        <v>121</v>
      </c>
      <c r="B24" s="652"/>
      <c r="C24" s="398"/>
      <c r="D24" s="51"/>
      <c r="E24" s="378"/>
      <c r="F24" s="51"/>
    </row>
    <row r="25" spans="1:6">
      <c r="A25" s="51"/>
      <c r="B25" s="378"/>
      <c r="C25" s="398"/>
      <c r="D25" s="51"/>
      <c r="E25" s="378"/>
      <c r="F25" s="51"/>
    </row>
    <row r="26" spans="1:6">
      <c r="A26" s="58" t="s">
        <v>122</v>
      </c>
      <c r="B26" s="402"/>
      <c r="C26" s="403"/>
      <c r="D26" s="403"/>
      <c r="E26" s="402"/>
      <c r="F26" s="51"/>
    </row>
    <row r="27" spans="1:6">
      <c r="A27" s="404" t="s">
        <v>123</v>
      </c>
      <c r="B27" s="653">
        <v>0</v>
      </c>
      <c r="C27" s="403"/>
      <c r="D27" s="403"/>
      <c r="E27" s="402"/>
      <c r="F27" s="51"/>
    </row>
    <row r="28" spans="1:6">
      <c r="A28" s="405" t="s">
        <v>124</v>
      </c>
      <c r="B28" s="653">
        <v>0</v>
      </c>
      <c r="C28" s="403"/>
      <c r="D28" s="403"/>
      <c r="E28" s="402"/>
      <c r="F28" s="51"/>
    </row>
    <row r="29" spans="1:6">
      <c r="A29" s="404" t="s">
        <v>122</v>
      </c>
      <c r="B29" s="406">
        <f>SUM(B27:B28)</f>
        <v>0</v>
      </c>
      <c r="C29" s="403"/>
      <c r="D29" s="403"/>
      <c r="E29" s="402"/>
      <c r="F29" s="51"/>
    </row>
    <row r="30" spans="1:6">
      <c r="A30" s="404"/>
      <c r="B30" s="403"/>
      <c r="C30" s="403"/>
      <c r="D30" s="403"/>
      <c r="E30" s="402"/>
      <c r="F30" s="51"/>
    </row>
    <row r="31" spans="1:6">
      <c r="A31" s="397"/>
      <c r="B31" s="51"/>
      <c r="C31" s="51"/>
      <c r="D31" s="51"/>
      <c r="E31" s="378"/>
      <c r="F31" s="51"/>
    </row>
    <row r="32" spans="1:6">
      <c r="A32" s="43" t="s">
        <v>125</v>
      </c>
      <c r="B32" s="51"/>
      <c r="C32" s="51"/>
      <c r="D32" s="51"/>
      <c r="E32" s="378"/>
      <c r="F32" s="51"/>
    </row>
    <row r="33" spans="1:6">
      <c r="A33" s="43"/>
      <c r="B33" s="51"/>
      <c r="C33" s="51"/>
      <c r="D33" s="51"/>
      <c r="E33" s="378"/>
      <c r="F33" s="51"/>
    </row>
    <row r="34" spans="1:6">
      <c r="A34" s="41" t="s">
        <v>126</v>
      </c>
      <c r="B34" s="277" t="s">
        <v>127</v>
      </c>
      <c r="C34" s="277" t="s">
        <v>128</v>
      </c>
      <c r="D34" s="277" t="s">
        <v>129</v>
      </c>
      <c r="E34" s="277" t="s">
        <v>130</v>
      </c>
      <c r="F34" s="277" t="s">
        <v>131</v>
      </c>
    </row>
    <row r="35" spans="1:6">
      <c r="A35" s="397" t="s">
        <v>132</v>
      </c>
      <c r="B35" s="378" t="e">
        <f>B9</f>
        <v>#DIV/0!</v>
      </c>
      <c r="C35" s="407">
        <v>0.5</v>
      </c>
      <c r="D35" s="408">
        <f>C14</f>
        <v>0</v>
      </c>
      <c r="E35" s="398">
        <f>B21</f>
        <v>0</v>
      </c>
      <c r="F35" s="409" t="e">
        <f t="shared" ref="F35:F41" si="0">B35*C35*D35*E35</f>
        <v>#DIV/0!</v>
      </c>
    </row>
    <row r="36" spans="1:6">
      <c r="A36" s="397"/>
      <c r="B36" s="378" t="e">
        <f>B9</f>
        <v>#DIV/0!</v>
      </c>
      <c r="C36" s="407">
        <v>1</v>
      </c>
      <c r="D36" s="408">
        <f>C15</f>
        <v>0</v>
      </c>
      <c r="E36" s="398">
        <f>B21</f>
        <v>0</v>
      </c>
      <c r="F36" s="409" t="e">
        <f t="shared" si="0"/>
        <v>#DIV/0!</v>
      </c>
    </row>
    <row r="37" spans="1:6">
      <c r="A37" s="397" t="s">
        <v>133</v>
      </c>
      <c r="B37" s="378" t="e">
        <f>B8</f>
        <v>#DIV/0!</v>
      </c>
      <c r="C37" s="407">
        <v>0.5</v>
      </c>
      <c r="D37" s="408">
        <f>C14</f>
        <v>0</v>
      </c>
      <c r="E37" s="398">
        <f>B20</f>
        <v>0</v>
      </c>
      <c r="F37" s="409" t="e">
        <f t="shared" si="0"/>
        <v>#DIV/0!</v>
      </c>
    </row>
    <row r="38" spans="1:6">
      <c r="A38" s="397"/>
      <c r="B38" s="378" t="e">
        <f>B8</f>
        <v>#DIV/0!</v>
      </c>
      <c r="C38" s="407">
        <v>1</v>
      </c>
      <c r="D38" s="408">
        <f>C15</f>
        <v>0</v>
      </c>
      <c r="E38" s="398">
        <f>B20</f>
        <v>0</v>
      </c>
      <c r="F38" s="409" t="e">
        <f t="shared" si="0"/>
        <v>#DIV/0!</v>
      </c>
    </row>
    <row r="39" spans="1:6">
      <c r="A39" s="397" t="str">
        <f>A22</f>
        <v>2nd Construction</v>
      </c>
      <c r="B39" s="378">
        <f>'Devel. Bud'!D80</f>
        <v>0</v>
      </c>
      <c r="C39" s="407">
        <v>1</v>
      </c>
      <c r="D39" s="408">
        <f>C16</f>
        <v>0</v>
      </c>
      <c r="E39" s="398">
        <f>B22</f>
        <v>0</v>
      </c>
      <c r="F39" s="409">
        <f t="shared" si="0"/>
        <v>0</v>
      </c>
    </row>
    <row r="40" spans="1:6">
      <c r="A40" s="397" t="str">
        <f>A23</f>
        <v>3rd Construction</v>
      </c>
      <c r="B40" s="378">
        <f>'Devel. Bud'!D81</f>
        <v>0</v>
      </c>
      <c r="C40" s="407">
        <v>1</v>
      </c>
      <c r="D40" s="408">
        <f>C16</f>
        <v>0</v>
      </c>
      <c r="E40" s="398">
        <f>B23</f>
        <v>0</v>
      </c>
      <c r="F40" s="409">
        <f t="shared" si="0"/>
        <v>0</v>
      </c>
    </row>
    <row r="41" spans="1:6">
      <c r="A41" s="397" t="str">
        <f>A24</f>
        <v>4th Construction</v>
      </c>
      <c r="B41" s="378">
        <f ca="1">'Devel. Bud'!D82</f>
        <v>0</v>
      </c>
      <c r="C41" s="407">
        <v>1</v>
      </c>
      <c r="D41" s="408">
        <f>C16</f>
        <v>0</v>
      </c>
      <c r="E41" s="398">
        <f>B24</f>
        <v>0</v>
      </c>
      <c r="F41" s="409">
        <f t="shared" ca="1" si="0"/>
        <v>0</v>
      </c>
    </row>
    <row r="42" spans="1:6">
      <c r="A42" s="51"/>
      <c r="B42" s="51"/>
      <c r="C42" s="51"/>
      <c r="D42" s="51"/>
      <c r="E42" s="41" t="s">
        <v>134</v>
      </c>
      <c r="F42" s="44" t="e">
        <f>SUM(F35:F41)</f>
        <v>#DIV/0!</v>
      </c>
    </row>
    <row r="43" spans="1:6">
      <c r="A43" s="43"/>
      <c r="B43" s="51"/>
      <c r="C43" s="51"/>
      <c r="D43" s="51"/>
      <c r="E43" s="378"/>
      <c r="F43" s="409"/>
    </row>
    <row r="44" spans="1:6">
      <c r="A44" s="43"/>
      <c r="B44" s="51"/>
      <c r="C44" s="51"/>
      <c r="D44" s="51"/>
      <c r="E44" s="378"/>
      <c r="F44" s="51"/>
    </row>
    <row r="45" spans="1:6">
      <c r="A45" s="41" t="s">
        <v>122</v>
      </c>
      <c r="B45" s="277" t="s">
        <v>127</v>
      </c>
      <c r="C45" s="277" t="s">
        <v>128</v>
      </c>
      <c r="D45" s="277" t="s">
        <v>129</v>
      </c>
      <c r="E45" s="277" t="s">
        <v>130</v>
      </c>
      <c r="F45" s="277" t="s">
        <v>131</v>
      </c>
    </row>
    <row r="46" spans="1:6">
      <c r="A46" s="397" t="s">
        <v>135</v>
      </c>
      <c r="B46" s="378">
        <f>B10</f>
        <v>0</v>
      </c>
      <c r="C46" s="407">
        <v>0.5</v>
      </c>
      <c r="D46" s="408">
        <f>C14</f>
        <v>0</v>
      </c>
      <c r="E46" s="398">
        <f>B29</f>
        <v>0</v>
      </c>
      <c r="F46" s="409">
        <f>B46*C46*D46*E46</f>
        <v>0</v>
      </c>
    </row>
    <row r="47" spans="1:6">
      <c r="A47" s="397"/>
      <c r="B47" s="378">
        <f>B10</f>
        <v>0</v>
      </c>
      <c r="C47" s="407">
        <v>1</v>
      </c>
      <c r="D47" s="408">
        <f>C15</f>
        <v>0</v>
      </c>
      <c r="E47" s="398">
        <f>B29</f>
        <v>0</v>
      </c>
      <c r="F47" s="409">
        <f>B47*C47*D47*E47</f>
        <v>0</v>
      </c>
    </row>
    <row r="48" spans="1:6">
      <c r="A48" s="397" t="s">
        <v>136</v>
      </c>
      <c r="B48" s="378">
        <f>'Devel. Bud'!D80</f>
        <v>0</v>
      </c>
      <c r="C48" s="407">
        <v>1</v>
      </c>
      <c r="D48" s="408">
        <f>C16</f>
        <v>0</v>
      </c>
      <c r="E48" s="398">
        <f>B22</f>
        <v>0</v>
      </c>
      <c r="F48" s="409">
        <f>B48*C48*D48*E48</f>
        <v>0</v>
      </c>
    </row>
    <row r="49" spans="1:8">
      <c r="A49" s="397"/>
      <c r="B49" s="378">
        <f>'Devel. Bud'!D81</f>
        <v>0</v>
      </c>
      <c r="C49" s="407">
        <v>1</v>
      </c>
      <c r="D49" s="408">
        <f>C16</f>
        <v>0</v>
      </c>
      <c r="E49" s="398">
        <f>B23</f>
        <v>0</v>
      </c>
      <c r="F49" s="409">
        <f>B49*C49*D49*E49</f>
        <v>0</v>
      </c>
      <c r="G49" s="51"/>
      <c r="H49" s="51"/>
    </row>
    <row r="50" spans="1:8">
      <c r="A50" s="51"/>
      <c r="B50" s="51"/>
      <c r="C50" s="51"/>
      <c r="D50" s="51"/>
      <c r="E50" s="41" t="s">
        <v>137</v>
      </c>
      <c r="F50" s="44">
        <f>SUM(F46:F49)</f>
        <v>0</v>
      </c>
      <c r="G50" s="51"/>
      <c r="H50" s="51"/>
    </row>
    <row r="51" spans="1:8">
      <c r="A51" s="51"/>
      <c r="B51" s="51"/>
      <c r="C51" s="51"/>
      <c r="D51" s="51"/>
      <c r="E51" s="378"/>
      <c r="F51" s="51"/>
      <c r="G51" s="51"/>
      <c r="H51" s="51"/>
    </row>
    <row r="52" spans="1:8">
      <c r="A52" s="410"/>
      <c r="B52" s="410"/>
      <c r="C52" s="410"/>
      <c r="D52" s="410"/>
      <c r="E52" s="411"/>
      <c r="F52" s="410"/>
      <c r="G52" s="51"/>
      <c r="H52" s="51"/>
    </row>
    <row r="53" spans="1:8">
      <c r="A53" s="19" t="s">
        <v>138</v>
      </c>
      <c r="B53" s="51"/>
      <c r="C53" s="51"/>
      <c r="D53" s="51"/>
      <c r="E53" s="51"/>
      <c r="F53" s="51"/>
      <c r="G53" s="51"/>
      <c r="H53" s="51"/>
    </row>
    <row r="54" spans="1:8" s="19" customFormat="1">
      <c r="A54" s="396" t="s">
        <v>139</v>
      </c>
      <c r="B54" s="23"/>
    </row>
    <row r="55" spans="1:8" s="19" customFormat="1">
      <c r="B55" s="23"/>
    </row>
    <row r="56" spans="1:8" s="19" customFormat="1">
      <c r="A56" s="397" t="s">
        <v>140</v>
      </c>
      <c r="B56" s="654"/>
    </row>
    <row r="57" spans="1:8" s="19" customFormat="1">
      <c r="B57" s="23"/>
    </row>
    <row r="58" spans="1:8" s="19" customFormat="1">
      <c r="B58" s="23"/>
    </row>
    <row r="59" spans="1:8" ht="17.25" customHeight="1">
      <c r="A59" s="51"/>
      <c r="B59" s="412" t="s">
        <v>141</v>
      </c>
      <c r="C59" s="412" t="s">
        <v>142</v>
      </c>
      <c r="D59" s="51"/>
      <c r="E59" s="51"/>
      <c r="F59" s="51"/>
      <c r="G59" s="51"/>
      <c r="H59" s="51"/>
    </row>
    <row r="60" spans="1:8">
      <c r="A60" s="397" t="s">
        <v>143</v>
      </c>
      <c r="B60" s="398">
        <f>B21</f>
        <v>0</v>
      </c>
      <c r="C60" s="398">
        <f>B20</f>
        <v>0</v>
      </c>
      <c r="D60" s="51"/>
      <c r="E60" s="51"/>
      <c r="F60" s="51"/>
      <c r="G60" s="51"/>
      <c r="H60" s="51"/>
    </row>
    <row r="61" spans="1:8">
      <c r="A61" s="397" t="s">
        <v>108</v>
      </c>
      <c r="B61" s="378" t="e">
        <f>B9</f>
        <v>#DIV/0!</v>
      </c>
      <c r="C61" s="360" t="e">
        <f>B8</f>
        <v>#DIV/0!</v>
      </c>
      <c r="D61" s="51"/>
      <c r="E61" s="51"/>
      <c r="F61" s="51"/>
      <c r="G61" s="51"/>
      <c r="H61" s="51"/>
    </row>
    <row r="62" spans="1:8">
      <c r="A62" s="397" t="s">
        <v>128</v>
      </c>
      <c r="B62" s="413">
        <v>0.5</v>
      </c>
      <c r="C62" s="413">
        <v>0.5</v>
      </c>
      <c r="D62" s="51"/>
      <c r="E62" s="51"/>
      <c r="F62" s="51"/>
      <c r="G62" s="51"/>
      <c r="H62" s="51"/>
    </row>
    <row r="63" spans="1:8">
      <c r="A63" s="397" t="s">
        <v>144</v>
      </c>
      <c r="B63" s="414">
        <f>B60-B56</f>
        <v>0</v>
      </c>
      <c r="C63" s="414">
        <f>C60-B56</f>
        <v>0</v>
      </c>
      <c r="D63" s="51"/>
      <c r="E63" s="51"/>
      <c r="F63" s="51"/>
      <c r="G63" s="51"/>
      <c r="H63" s="51"/>
    </row>
    <row r="64" spans="1:8">
      <c r="A64" s="397" t="s">
        <v>145</v>
      </c>
      <c r="B64" s="399">
        <f>C14</f>
        <v>0</v>
      </c>
      <c r="C64" s="399">
        <f>C14</f>
        <v>0</v>
      </c>
      <c r="D64" s="51"/>
      <c r="E64" s="51"/>
      <c r="F64" s="51"/>
      <c r="G64" s="51"/>
      <c r="H64" s="51"/>
    </row>
    <row r="65" spans="1:4">
      <c r="A65" s="397"/>
      <c r="B65" s="409" t="e">
        <f>B61*B62*B63*B64</f>
        <v>#DIV/0!</v>
      </c>
      <c r="C65" s="409" t="e">
        <f>C61*C62*C63*C64</f>
        <v>#DIV/0!</v>
      </c>
      <c r="D65" s="409"/>
    </row>
    <row r="66" spans="1:4">
      <c r="A66" s="397"/>
      <c r="B66" s="51"/>
      <c r="C66" s="51"/>
      <c r="D66" s="51"/>
    </row>
    <row r="67" spans="1:4">
      <c r="A67" s="41" t="s">
        <v>75</v>
      </c>
      <c r="B67" s="82" t="e">
        <f>B65+C65</f>
        <v>#DIV/0!</v>
      </c>
      <c r="C67" s="51"/>
      <c r="D67" s="51"/>
    </row>
    <row r="68" spans="1:4">
      <c r="A68" s="19"/>
      <c r="B68" s="51"/>
      <c r="C68" s="51"/>
      <c r="D68" s="51"/>
    </row>
    <row r="69" spans="1:4">
      <c r="A69" s="19"/>
      <c r="B69" s="51"/>
      <c r="C69" s="51"/>
      <c r="D69" s="51"/>
    </row>
    <row r="70" spans="1:4">
      <c r="A70" s="19" t="s">
        <v>146</v>
      </c>
      <c r="B70" s="13"/>
      <c r="C70" s="51"/>
      <c r="D70" s="19"/>
    </row>
    <row r="71" spans="1:4">
      <c r="A71" s="51"/>
      <c r="B71" s="51"/>
      <c r="C71" s="51"/>
      <c r="D71" s="51"/>
    </row>
    <row r="72" spans="1:4">
      <c r="A72" s="51" t="s">
        <v>105</v>
      </c>
      <c r="B72" s="51"/>
      <c r="C72" s="415">
        <f>B10</f>
        <v>0</v>
      </c>
      <c r="D72" s="51"/>
    </row>
    <row r="73" spans="1:4">
      <c r="A73" s="51" t="s">
        <v>147</v>
      </c>
      <c r="B73" s="651"/>
      <c r="C73" s="386">
        <f>C72*B20*(B73/360)</f>
        <v>0</v>
      </c>
      <c r="D73" s="51"/>
    </row>
    <row r="74" spans="1:4">
      <c r="A74" s="51" t="s">
        <v>148</v>
      </c>
      <c r="B74" s="378"/>
      <c r="C74" s="81">
        <f>C72+C73</f>
        <v>0</v>
      </c>
      <c r="D74" s="51"/>
    </row>
    <row r="75" spans="1:4">
      <c r="A75" s="51"/>
      <c r="B75" s="416"/>
      <c r="C75" s="51"/>
      <c r="D75" s="51"/>
    </row>
    <row r="76" spans="1:4">
      <c r="A76" s="51"/>
      <c r="B76" s="417"/>
      <c r="C76" s="51"/>
      <c r="D76" s="51"/>
    </row>
    <row r="77" spans="1:4">
      <c r="A77" s="51"/>
      <c r="B77" s="51"/>
      <c r="C77" s="51"/>
      <c r="D77" s="51"/>
    </row>
    <row r="78" spans="1:4">
      <c r="A78" s="51"/>
      <c r="B78" s="51"/>
      <c r="C78" s="51"/>
      <c r="D78" s="51"/>
    </row>
    <row r="79" spans="1:4">
      <c r="A79" s="51"/>
      <c r="B79" s="418"/>
      <c r="C79" s="51"/>
      <c r="D79" s="51"/>
    </row>
    <row r="80" spans="1:4">
      <c r="A80" s="51"/>
      <c r="B80" s="418"/>
      <c r="C80" s="51"/>
      <c r="D80" s="51"/>
    </row>
    <row r="81" spans="1:2">
      <c r="A81" s="51"/>
      <c r="B81" s="418"/>
    </row>
    <row r="86" spans="1:2">
      <c r="A86" s="51"/>
      <c r="B86" s="378"/>
    </row>
    <row r="87" spans="1:2">
      <c r="A87" s="51"/>
      <c r="B87" s="413"/>
    </row>
    <row r="88" spans="1:2">
      <c r="A88" s="51"/>
      <c r="B88" s="419"/>
    </row>
    <row r="89" spans="1:2">
      <c r="A89" s="51"/>
      <c r="B89" s="51"/>
    </row>
    <row r="91" spans="1:2">
      <c r="A91" s="51"/>
      <c r="B91" s="420"/>
    </row>
    <row r="93" spans="1:2">
      <c r="A93" s="51"/>
      <c r="B93" s="421"/>
    </row>
    <row r="96" spans="1:2">
      <c r="A96" s="19"/>
      <c r="B96" s="21"/>
    </row>
  </sheetData>
  <dataConsolidate/>
  <customSheetViews>
    <customSheetView guid="{25C4E7E7-1006-4A2D-BC83-AEE4ADF8A914}" scale="75" showPageBreaks="1" fitToPage="1" printArea="1" hiddenRows="1" showRuler="0" topLeftCell="A7">
      <selection activeCell="C18" sqref="C18"/>
      <pageMargins left="0" right="0" top="0" bottom="0" header="0" footer="0"/>
      <pageSetup scale="77" orientation="portrait" r:id="rId1"/>
      <headerFooter alignWithMargins="0"/>
    </customSheetView>
    <customSheetView guid="{28F81D13-D146-4D67-8981-BA5D7A496326}" scale="60" showPageBreaks="1" fitToPage="1" printArea="1" hiddenRows="1" view="pageBreakPreview" showRuler="0" topLeftCell="A4">
      <selection activeCell="E41" sqref="E41"/>
      <pageMargins left="0" right="0" top="0" bottom="0" header="0" footer="0"/>
      <pageSetup scale="60" orientation="portrait" r:id="rId2"/>
      <headerFooter alignWithMargins="0"/>
    </customSheetView>
    <customSheetView guid="{AEA5979F-5357-4ED6-A6CA-1BB80F5C7A74}" scale="60" showPageBreaks="1" fitToPage="1" printArea="1" hiddenRows="1" view="pageBreakPreview" showRuler="0">
      <selection activeCell="B25" sqref="B25"/>
      <pageMargins left="0" right="0" top="0" bottom="0" header="0" footer="0"/>
      <pageSetup scale="62" orientation="portrait" r:id="rId3"/>
      <headerFooter alignWithMargins="0"/>
    </customSheetView>
    <customSheetView guid="{EB776EFC-3589-4DB5-BEAF-1E83D9703F9E}" scale="75" fitToPage="1" hiddenRows="1" hiddenColumns="1" showRuler="0" topLeftCell="A17">
      <selection activeCell="J41" sqref="J41"/>
      <pageMargins left="0" right="0" top="0" bottom="0" header="0" footer="0"/>
      <pageSetup scale="93" orientation="portrait" r:id="rId4"/>
      <headerFooter alignWithMargins="0"/>
    </customSheetView>
    <customSheetView guid="{FBB4BF8E-8A9F-4E98-A6F9-5F9BF4C55C67}" scale="75" showPageBreaks="1" fitToPage="1" hiddenRows="1" hiddenColumns="1" showRuler="0" topLeftCell="A14">
      <selection activeCell="B42" sqref="B42"/>
      <pageMargins left="0" right="0" top="0" bottom="0" header="0" footer="0"/>
      <pageSetup scale="70" orientation="portrait" r:id="rId5"/>
      <headerFooter alignWithMargins="0"/>
    </customSheetView>
    <customSheetView guid="{6EF643BE-69F3-424E-8A44-3890161370D4}" scale="60" showPageBreaks="1" fitToPage="1" printArea="1" hiddenRows="1" view="pageBreakPreview" showRuler="0" topLeftCell="A13">
      <selection activeCell="E40" sqref="E40"/>
      <pageMargins left="0" right="0" top="0" bottom="0" header="0" footer="0"/>
      <pageSetup scale="60" orientation="portrait" r:id="rId6"/>
      <headerFooter alignWithMargins="0"/>
    </customSheetView>
    <customSheetView guid="{1ECE83C7-A3CE-4F97-BFD3-498FF783C0D9}" scale="75" showPageBreaks="1" fitToPage="1" printArea="1" showRuler="0" topLeftCell="A28">
      <selection activeCell="H29" sqref="H29"/>
      <pageMargins left="0" right="0" top="0" bottom="0" header="0" footer="0"/>
      <pageSetup scale="66" orientation="portrait" r:id="rId7"/>
      <headerFooter alignWithMargins="0"/>
    </customSheetView>
    <customSheetView guid="{560D4AFA-61E5-46C3-B0CD-D0EB3053A033}" scale="75" showPageBreaks="1" fitToPage="1" printArea="1" hiddenRows="1" showRuler="0">
      <selection activeCell="C18" sqref="C18"/>
      <pageMargins left="0" right="0" top="0" bottom="0" header="0" footer="0"/>
      <pageSetup scale="77" orientation="portrait" r:id="rId8"/>
      <headerFooter alignWithMargins="0"/>
    </customSheetView>
  </customSheetViews>
  <phoneticPr fontId="0" type="noConversion"/>
  <pageMargins left="0.75" right="0.5" top="0.75" bottom="0.5" header="0.5" footer="0.5"/>
  <pageSetup scale="61" firstPageNumber="208" orientation="portrait"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pageSetUpPr fitToPage="1"/>
  </sheetPr>
  <dimension ref="B1:AC119"/>
  <sheetViews>
    <sheetView defaultGridColor="0" colorId="22" zoomScale="85" zoomScaleNormal="85" zoomScaleSheetLayoutView="100" zoomScalePageLayoutView="25" workbookViewId="0"/>
  </sheetViews>
  <sheetFormatPr baseColWidth="10" defaultColWidth="9.7109375" defaultRowHeight="16"/>
  <cols>
    <col min="1" max="1" width="4.5703125" style="25" customWidth="1"/>
    <col min="2" max="2" width="23.28515625" style="25" customWidth="1"/>
    <col min="3" max="3" width="13" style="25" customWidth="1"/>
    <col min="4" max="4" width="34.5703125" style="25" bestFit="1" customWidth="1"/>
    <col min="5" max="5" width="13.140625" style="25" customWidth="1"/>
    <col min="6" max="7" width="11.7109375" style="25" customWidth="1"/>
    <col min="8" max="10" width="14.42578125" style="25" customWidth="1"/>
    <col min="11" max="11" width="15.7109375" style="25" customWidth="1"/>
    <col min="12" max="12" width="8.140625" style="25" customWidth="1"/>
    <col min="13" max="21" width="6.7109375" style="25" customWidth="1"/>
    <col min="22" max="23" width="5.42578125" style="25" customWidth="1"/>
    <col min="24" max="16384" width="9.7109375" style="25"/>
  </cols>
  <sheetData>
    <row r="1" spans="2:16">
      <c r="B1" s="1" t="str">
        <f>'Sources and Use'!A1</f>
        <v xml:space="preserve">Project Name: </v>
      </c>
      <c r="C1" s="2"/>
      <c r="D1" s="51"/>
      <c r="E1" s="51"/>
      <c r="F1" s="51"/>
      <c r="G1" s="51"/>
      <c r="H1" s="51"/>
      <c r="I1" s="1"/>
      <c r="J1" s="1"/>
      <c r="K1" s="51"/>
      <c r="L1" s="51"/>
      <c r="M1" s="51"/>
      <c r="N1" s="51"/>
      <c r="O1" s="51"/>
      <c r="P1" s="51"/>
    </row>
    <row r="2" spans="2:16">
      <c r="B2" s="1" t="str">
        <f>'Sources and Use'!A2</f>
        <v>Site:</v>
      </c>
      <c r="C2" s="2"/>
      <c r="D2" s="51"/>
      <c r="E2" s="51"/>
      <c r="F2" s="51"/>
      <c r="G2" s="51"/>
      <c r="H2" s="51"/>
      <c r="I2" s="1" t="str">
        <f>'Sources and Use'!C2</f>
        <v>Units:</v>
      </c>
      <c r="J2" s="163">
        <f>C23</f>
        <v>0</v>
      </c>
      <c r="K2" s="51"/>
      <c r="L2" s="51"/>
      <c r="M2" s="51"/>
      <c r="N2" s="51"/>
      <c r="O2" s="51"/>
      <c r="P2" s="51"/>
    </row>
    <row r="3" spans="2:16" ht="17" thickBot="1">
      <c r="B3" s="422"/>
      <c r="C3" s="422"/>
      <c r="D3" s="422"/>
      <c r="E3" s="422"/>
      <c r="F3" s="422"/>
      <c r="G3" s="422"/>
      <c r="H3" s="422"/>
      <c r="I3" s="422"/>
      <c r="J3" s="422"/>
      <c r="K3" s="51"/>
      <c r="L3" s="51"/>
      <c r="M3" s="51"/>
      <c r="N3" s="51"/>
      <c r="O3" s="51"/>
      <c r="P3" s="51"/>
    </row>
    <row r="4" spans="2:16" ht="18.75" customHeight="1" thickTop="1">
      <c r="B4" s="88" t="s">
        <v>149</v>
      </c>
      <c r="C4" s="111" t="s">
        <v>150</v>
      </c>
      <c r="D4" s="51"/>
      <c r="E4" s="180" t="s">
        <v>151</v>
      </c>
      <c r="F4" s="180" t="s">
        <v>152</v>
      </c>
      <c r="G4" s="181"/>
      <c r="H4" s="2"/>
      <c r="I4" s="51"/>
      <c r="J4" s="423"/>
      <c r="K4" s="51"/>
      <c r="L4" s="51"/>
      <c r="M4" s="51"/>
      <c r="N4" s="51"/>
      <c r="O4" s="51"/>
      <c r="P4" s="51"/>
    </row>
    <row r="5" spans="2:16">
      <c r="B5" s="581" t="e">
        <f>C5/$C$10</f>
        <v>#DIV/0!</v>
      </c>
      <c r="C5" s="424"/>
      <c r="D5" s="253" t="s">
        <v>153</v>
      </c>
      <c r="E5" s="425" t="e">
        <f>F5/C5</f>
        <v>#DIV/0!</v>
      </c>
      <c r="F5" s="205">
        <f>F23</f>
        <v>0</v>
      </c>
      <c r="G5" s="182"/>
      <c r="H5" s="2"/>
      <c r="I5" s="51"/>
      <c r="J5" s="426"/>
      <c r="K5" s="51"/>
      <c r="L5" s="51"/>
      <c r="M5" s="51"/>
      <c r="N5" s="51"/>
      <c r="O5" s="51"/>
      <c r="P5" s="51"/>
    </row>
    <row r="6" spans="2:16">
      <c r="B6" s="581" t="e">
        <f>C6/$C$10</f>
        <v>#DIV/0!</v>
      </c>
      <c r="C6" s="424"/>
      <c r="D6" s="253" t="s">
        <v>36</v>
      </c>
      <c r="E6" s="427">
        <v>1</v>
      </c>
      <c r="F6" s="205">
        <f>E6*C6</f>
        <v>0</v>
      </c>
      <c r="G6" s="182"/>
      <c r="H6" s="2"/>
      <c r="I6" s="51"/>
      <c r="J6" s="426"/>
      <c r="K6" s="51"/>
      <c r="L6" s="51"/>
      <c r="M6" s="51"/>
      <c r="N6" s="51"/>
      <c r="O6" s="51"/>
      <c r="P6" s="51"/>
    </row>
    <row r="7" spans="2:16">
      <c r="B7" s="581" t="e">
        <f>C7/$C$10</f>
        <v>#DIV/0!</v>
      </c>
      <c r="C7" s="424"/>
      <c r="D7" s="253" t="s">
        <v>154</v>
      </c>
      <c r="E7" s="427">
        <v>1</v>
      </c>
      <c r="F7" s="205">
        <f>E7*C7</f>
        <v>0</v>
      </c>
      <c r="G7" s="182"/>
      <c r="H7" s="2"/>
      <c r="I7" s="51"/>
      <c r="J7" s="426"/>
      <c r="K7" s="51"/>
      <c r="L7" s="51"/>
      <c r="M7" s="51"/>
      <c r="N7" s="51"/>
      <c r="O7" s="51"/>
      <c r="P7" s="51"/>
    </row>
    <row r="8" spans="2:16">
      <c r="B8" s="581" t="e">
        <f>C8/$C$10</f>
        <v>#DIV/0!</v>
      </c>
      <c r="C8" s="424"/>
      <c r="D8" s="253" t="s">
        <v>155</v>
      </c>
      <c r="E8" s="427">
        <v>1</v>
      </c>
      <c r="F8" s="205">
        <f>E8*C8</f>
        <v>0</v>
      </c>
      <c r="G8" s="182"/>
      <c r="H8" s="2"/>
      <c r="I8" s="51"/>
      <c r="J8" s="426"/>
      <c r="K8" s="51"/>
      <c r="L8" s="51"/>
      <c r="M8" s="51"/>
      <c r="N8" s="51"/>
      <c r="O8" s="51"/>
      <c r="P8" s="51"/>
    </row>
    <row r="9" spans="2:16">
      <c r="B9" s="581" t="e">
        <f>C9/$C$10</f>
        <v>#DIV/0!</v>
      </c>
      <c r="C9" s="424"/>
      <c r="D9" s="253" t="s">
        <v>156</v>
      </c>
      <c r="E9" s="427">
        <v>1</v>
      </c>
      <c r="F9" s="205">
        <f>E9*C9</f>
        <v>0</v>
      </c>
      <c r="G9" s="182"/>
      <c r="H9" s="2"/>
      <c r="I9" s="51"/>
      <c r="J9" s="426"/>
      <c r="K9" s="51"/>
      <c r="L9" s="51"/>
      <c r="M9" s="51"/>
      <c r="N9" s="51"/>
      <c r="O9" s="51"/>
      <c r="P9" s="51"/>
    </row>
    <row r="10" spans="2:16">
      <c r="B10" s="582"/>
      <c r="C10" s="39">
        <f>SUM(C5:C9)</f>
        <v>0</v>
      </c>
      <c r="D10" s="19" t="s">
        <v>157</v>
      </c>
      <c r="E10" s="183"/>
      <c r="F10" s="183">
        <f>SUM(F5:F9)</f>
        <v>0</v>
      </c>
      <c r="G10" s="184" t="s">
        <v>158</v>
      </c>
      <c r="H10" s="2"/>
      <c r="I10" s="51"/>
      <c r="J10" s="426"/>
      <c r="K10" s="51"/>
      <c r="L10" s="51"/>
      <c r="M10" s="51"/>
      <c r="N10" s="51"/>
      <c r="O10" s="51"/>
      <c r="P10" s="51"/>
    </row>
    <row r="11" spans="2:16">
      <c r="B11" s="583"/>
      <c r="C11" s="111"/>
      <c r="D11" s="51"/>
      <c r="E11" s="39"/>
      <c r="F11" s="121"/>
      <c r="G11" s="19"/>
      <c r="H11" s="2"/>
      <c r="I11" s="51"/>
      <c r="J11" s="426"/>
      <c r="K11" s="51"/>
      <c r="L11" s="51"/>
      <c r="M11" s="51"/>
      <c r="N11" s="51"/>
      <c r="O11" s="51"/>
      <c r="P11" s="51"/>
    </row>
    <row r="12" spans="2:16">
      <c r="B12" s="89"/>
      <c r="C12" s="428"/>
      <c r="D12" s="429"/>
      <c r="E12" s="90"/>
      <c r="F12" s="90"/>
      <c r="G12" s="122"/>
      <c r="H12" s="94"/>
      <c r="I12" s="430"/>
      <c r="J12" s="431"/>
      <c r="K12" s="51"/>
      <c r="L12" s="51"/>
      <c r="M12" s="51"/>
      <c r="N12" s="51"/>
      <c r="O12" s="51"/>
      <c r="P12" s="51"/>
    </row>
    <row r="13" spans="2:16" ht="17" thickBot="1">
      <c r="B13" s="85"/>
      <c r="C13" s="432"/>
      <c r="D13" s="433"/>
      <c r="E13" s="86"/>
      <c r="F13" s="87"/>
      <c r="G13" s="105"/>
      <c r="H13" s="105"/>
      <c r="I13" s="422"/>
      <c r="J13" s="422"/>
      <c r="K13" s="51"/>
      <c r="L13" s="51"/>
      <c r="M13" s="51"/>
      <c r="N13" s="51"/>
      <c r="O13" s="51"/>
      <c r="P13" s="51"/>
    </row>
    <row r="14" spans="2:16" ht="17" thickTop="1">
      <c r="B14" s="88" t="s">
        <v>159</v>
      </c>
      <c r="C14" s="111"/>
      <c r="D14" s="352"/>
      <c r="E14" s="39"/>
      <c r="F14" s="434"/>
      <c r="G14" s="51"/>
      <c r="H14" s="2"/>
      <c r="I14" s="51"/>
      <c r="J14" s="423"/>
      <c r="K14" s="51"/>
      <c r="L14" s="51"/>
      <c r="M14" s="51"/>
      <c r="N14" s="51"/>
      <c r="O14" s="51"/>
      <c r="P14" s="51"/>
    </row>
    <row r="15" spans="2:16" ht="15" customHeight="1">
      <c r="B15" s="584"/>
      <c r="C15" s="111"/>
      <c r="D15" s="111"/>
      <c r="E15" s="111"/>
      <c r="F15" s="39" t="s">
        <v>160</v>
      </c>
      <c r="G15" s="83"/>
      <c r="H15" s="2"/>
      <c r="I15" s="51"/>
      <c r="J15" s="426"/>
      <c r="K15" s="51"/>
      <c r="L15" s="51"/>
      <c r="M15" s="51"/>
      <c r="N15" s="51"/>
      <c r="O15" s="51"/>
      <c r="P15" s="51"/>
    </row>
    <row r="16" spans="2:16">
      <c r="B16" s="549"/>
      <c r="C16" s="61" t="s">
        <v>161</v>
      </c>
      <c r="D16" s="61" t="s">
        <v>162</v>
      </c>
      <c r="E16" s="61" t="s">
        <v>163</v>
      </c>
      <c r="F16" s="39" t="s">
        <v>164</v>
      </c>
      <c r="G16" s="83"/>
      <c r="H16" s="111"/>
      <c r="I16" s="111"/>
      <c r="J16" s="426"/>
      <c r="K16" s="51"/>
      <c r="L16" s="51"/>
      <c r="M16" s="51"/>
      <c r="N16" s="51"/>
      <c r="O16" s="51"/>
      <c r="P16" s="51"/>
    </row>
    <row r="17" spans="2:16">
      <c r="B17" s="585" t="s">
        <v>165</v>
      </c>
      <c r="C17" s="435">
        <f>SUM(I55,I63,I71,I79,I87,I95,I103,I110)</f>
        <v>0</v>
      </c>
      <c r="D17" s="110">
        <v>2</v>
      </c>
      <c r="E17" s="436">
        <f>D17*C17</f>
        <v>0</v>
      </c>
      <c r="F17" s="424"/>
      <c r="G17" s="83"/>
      <c r="H17" s="111"/>
      <c r="I17" s="51"/>
      <c r="J17" s="426"/>
      <c r="K17" s="51"/>
      <c r="L17" s="51"/>
      <c r="M17" s="51"/>
      <c r="N17" s="51"/>
      <c r="O17" s="51"/>
      <c r="P17" s="51"/>
    </row>
    <row r="18" spans="2:16">
      <c r="B18" s="585" t="s">
        <v>166</v>
      </c>
      <c r="C18" s="435">
        <f t="shared" ref="C18:C20" si="0">SUM(I56,I64,I72,I80,I88,I96,I104,I111)</f>
        <v>0</v>
      </c>
      <c r="D18" s="110">
        <v>3</v>
      </c>
      <c r="E18" s="436">
        <f>C18*D18</f>
        <v>0</v>
      </c>
      <c r="F18" s="424"/>
      <c r="G18" s="83"/>
      <c r="H18" s="2"/>
      <c r="I18" s="51"/>
      <c r="J18" s="426"/>
      <c r="K18" s="51"/>
      <c r="L18" s="51"/>
      <c r="M18" s="51"/>
      <c r="N18" s="51"/>
      <c r="O18" s="51"/>
      <c r="P18" s="51"/>
    </row>
    <row r="19" spans="2:16">
      <c r="B19" s="585" t="s">
        <v>167</v>
      </c>
      <c r="C19" s="435">
        <f t="shared" si="0"/>
        <v>0</v>
      </c>
      <c r="D19" s="110">
        <v>4</v>
      </c>
      <c r="E19" s="436">
        <f>C19*D19</f>
        <v>0</v>
      </c>
      <c r="F19" s="424"/>
      <c r="G19" s="19"/>
      <c r="H19" s="2"/>
      <c r="I19" s="51"/>
      <c r="J19" s="426"/>
      <c r="K19" s="51"/>
      <c r="L19" s="51"/>
      <c r="M19" s="51"/>
      <c r="N19" s="51"/>
      <c r="O19" s="51"/>
      <c r="P19" s="51"/>
    </row>
    <row r="20" spans="2:16">
      <c r="B20" s="585" t="s">
        <v>168</v>
      </c>
      <c r="C20" s="435">
        <f t="shared" si="0"/>
        <v>0</v>
      </c>
      <c r="D20" s="110">
        <v>5</v>
      </c>
      <c r="E20" s="436">
        <f>D20*C20</f>
        <v>0</v>
      </c>
      <c r="F20" s="424"/>
      <c r="G20" s="69"/>
      <c r="H20" s="2"/>
      <c r="I20" s="51"/>
      <c r="J20" s="426"/>
      <c r="K20" s="51"/>
      <c r="L20" s="51"/>
      <c r="M20" s="51"/>
      <c r="N20" s="51"/>
      <c r="O20" s="51"/>
      <c r="P20" s="51"/>
    </row>
    <row r="21" spans="2:16">
      <c r="B21" s="586" t="s">
        <v>58</v>
      </c>
      <c r="C21" s="203">
        <f>SUM(C17:C20)</f>
        <v>0</v>
      </c>
      <c r="D21" s="62"/>
      <c r="E21" s="204">
        <f>SUM(E17:E20)</f>
        <v>0</v>
      </c>
      <c r="F21" s="51"/>
      <c r="G21" s="51"/>
      <c r="H21" s="2"/>
      <c r="I21" s="2"/>
      <c r="J21" s="426"/>
      <c r="K21" s="51"/>
      <c r="L21" s="51"/>
      <c r="M21" s="51"/>
      <c r="N21" s="51"/>
      <c r="O21" s="51"/>
      <c r="P21" s="51"/>
    </row>
    <row r="22" spans="2:16">
      <c r="B22" s="585" t="s">
        <v>169</v>
      </c>
      <c r="C22" s="437"/>
      <c r="D22" s="424"/>
      <c r="E22" s="436">
        <f>D22*C22</f>
        <v>0</v>
      </c>
      <c r="F22" s="424"/>
      <c r="G22" s="83"/>
      <c r="H22" s="2"/>
      <c r="I22" s="2"/>
      <c r="J22" s="426"/>
      <c r="K22" s="51"/>
      <c r="L22" s="51"/>
      <c r="M22" s="51"/>
      <c r="N22" s="51"/>
      <c r="O22" s="51"/>
      <c r="P22" s="51"/>
    </row>
    <row r="23" spans="2:16">
      <c r="B23" s="586" t="s">
        <v>95</v>
      </c>
      <c r="C23" s="203">
        <f>C22+C21</f>
        <v>0</v>
      </c>
      <c r="D23" s="63"/>
      <c r="E23" s="204">
        <f>SUM(E21:E22)</f>
        <v>0</v>
      </c>
      <c r="F23" s="39">
        <f>C17*F17+C18*F18+C19*F19+C20*F20+C22*F22</f>
        <v>0</v>
      </c>
      <c r="G23" s="91" t="s">
        <v>170</v>
      </c>
      <c r="H23" s="2"/>
      <c r="I23" s="2"/>
      <c r="J23" s="426"/>
      <c r="K23" s="51"/>
      <c r="L23" s="51"/>
      <c r="M23" s="51"/>
      <c r="N23" s="51"/>
      <c r="O23" s="51"/>
      <c r="P23" s="51"/>
    </row>
    <row r="24" spans="2:16">
      <c r="B24" s="587"/>
      <c r="C24" s="51"/>
      <c r="D24" s="51"/>
      <c r="E24" s="51"/>
      <c r="F24" s="438" t="e">
        <f>F23/C23</f>
        <v>#DIV/0!</v>
      </c>
      <c r="G24" s="92" t="s">
        <v>171</v>
      </c>
      <c r="H24" s="51"/>
      <c r="I24" s="51"/>
      <c r="J24" s="426"/>
      <c r="K24" s="51"/>
      <c r="L24" s="51"/>
      <c r="M24" s="51"/>
      <c r="N24" s="51"/>
      <c r="O24" s="51"/>
      <c r="P24" s="51"/>
    </row>
    <row r="25" spans="2:16">
      <c r="B25" s="439"/>
      <c r="C25" s="430"/>
      <c r="D25" s="430"/>
      <c r="E25" s="430"/>
      <c r="F25" s="430"/>
      <c r="G25" s="430"/>
      <c r="H25" s="430"/>
      <c r="I25" s="430"/>
      <c r="J25" s="431"/>
      <c r="K25" s="51"/>
      <c r="L25" s="51"/>
      <c r="M25" s="51"/>
      <c r="N25" s="51"/>
      <c r="O25" s="51"/>
      <c r="P25" s="51"/>
    </row>
    <row r="26" spans="2:16">
      <c r="B26" s="51"/>
      <c r="C26" s="111"/>
      <c r="D26" s="111"/>
      <c r="E26" s="111"/>
      <c r="F26" s="2"/>
      <c r="G26" s="2"/>
      <c r="H26" s="2"/>
      <c r="I26" s="51"/>
      <c r="J26" s="440"/>
      <c r="K26" s="51"/>
      <c r="L26" s="51"/>
      <c r="M26" s="51"/>
      <c r="N26" s="51"/>
      <c r="O26" s="51"/>
      <c r="P26" s="51"/>
    </row>
    <row r="27" spans="2:16" ht="17" thickBot="1">
      <c r="B27" s="18"/>
      <c r="C27" s="432"/>
      <c r="D27" s="432"/>
      <c r="E27" s="432"/>
      <c r="F27" s="105"/>
      <c r="G27" s="105"/>
      <c r="H27" s="105"/>
      <c r="I27" s="422"/>
      <c r="J27" s="422"/>
      <c r="K27" s="51"/>
      <c r="L27" s="51"/>
      <c r="M27" s="51"/>
      <c r="N27" s="51"/>
      <c r="O27" s="51"/>
      <c r="P27" s="51"/>
    </row>
    <row r="28" spans="2:16" ht="17" thickTop="1">
      <c r="B28" s="77" t="s">
        <v>172</v>
      </c>
      <c r="C28" s="4"/>
      <c r="D28" s="2"/>
      <c r="E28" s="2"/>
      <c r="F28" s="124"/>
      <c r="G28" s="2"/>
      <c r="H28" s="2"/>
      <c r="I28" s="51"/>
      <c r="J28" s="423"/>
      <c r="K28" s="51"/>
      <c r="L28" s="51"/>
      <c r="M28" s="51"/>
      <c r="N28" s="51"/>
      <c r="O28" s="51"/>
      <c r="P28" s="51"/>
    </row>
    <row r="29" spans="2:16" s="84" customFormat="1" ht="30" customHeight="1">
      <c r="B29" s="588"/>
      <c r="C29" s="441" t="s">
        <v>173</v>
      </c>
      <c r="D29" s="442" t="s">
        <v>174</v>
      </c>
      <c r="E29" s="441" t="s">
        <v>175</v>
      </c>
      <c r="F29" s="443"/>
      <c r="G29" s="443"/>
      <c r="H29" s="443"/>
      <c r="I29" s="444"/>
      <c r="J29" s="445"/>
      <c r="K29" s="444"/>
      <c r="L29" s="444"/>
      <c r="M29" s="444"/>
      <c r="N29" s="444"/>
      <c r="O29" s="444"/>
      <c r="P29" s="444"/>
    </row>
    <row r="30" spans="2:16">
      <c r="B30" s="585" t="s">
        <v>176</v>
      </c>
      <c r="C30" s="424"/>
      <c r="D30" s="446"/>
      <c r="E30" s="5">
        <f>C30*D30*12</f>
        <v>0</v>
      </c>
      <c r="F30" s="2"/>
      <c r="G30" s="2"/>
      <c r="H30" s="2"/>
      <c r="I30" s="51"/>
      <c r="J30" s="426"/>
      <c r="K30" s="51"/>
      <c r="L30" s="51"/>
      <c r="M30" s="51"/>
      <c r="N30" s="51"/>
      <c r="O30" s="51"/>
      <c r="P30" s="51"/>
    </row>
    <row r="31" spans="2:16">
      <c r="B31" s="585" t="s">
        <v>177</v>
      </c>
      <c r="C31" s="424"/>
      <c r="D31" s="446"/>
      <c r="E31" s="5">
        <f>C31*D31*12</f>
        <v>0</v>
      </c>
      <c r="F31" s="2"/>
      <c r="G31" s="2"/>
      <c r="H31" s="2"/>
      <c r="I31" s="51"/>
      <c r="J31" s="426"/>
      <c r="K31" s="51"/>
      <c r="L31" s="51"/>
      <c r="M31" s="51"/>
      <c r="N31" s="51"/>
      <c r="O31" s="51"/>
      <c r="P31" s="51"/>
    </row>
    <row r="32" spans="2:16">
      <c r="B32" s="585" t="s">
        <v>178</v>
      </c>
      <c r="C32" s="424"/>
      <c r="D32" s="446"/>
      <c r="E32" s="5">
        <f>C32*D32*12</f>
        <v>0</v>
      </c>
      <c r="F32" s="2"/>
      <c r="G32" s="2"/>
      <c r="H32" s="2"/>
      <c r="I32" s="51"/>
      <c r="J32" s="426"/>
      <c r="K32" s="51"/>
      <c r="L32" s="51"/>
      <c r="M32" s="51"/>
      <c r="N32" s="51"/>
      <c r="O32" s="51"/>
      <c r="P32" s="51"/>
    </row>
    <row r="33" spans="2:29" s="84" customFormat="1" ht="30.75" customHeight="1">
      <c r="B33" s="589"/>
      <c r="C33" s="447" t="s">
        <v>179</v>
      </c>
      <c r="D33" s="448" t="s">
        <v>180</v>
      </c>
      <c r="E33" s="441" t="s">
        <v>175</v>
      </c>
      <c r="F33" s="443"/>
      <c r="G33" s="449"/>
      <c r="H33" s="443"/>
      <c r="I33" s="444"/>
      <c r="J33" s="445"/>
      <c r="K33" s="444"/>
      <c r="L33" s="444"/>
      <c r="M33" s="444"/>
      <c r="N33" s="444"/>
      <c r="O33" s="444"/>
      <c r="P33" s="444"/>
      <c r="Q33" s="444"/>
      <c r="R33" s="444"/>
      <c r="S33" s="444"/>
      <c r="T33" s="444"/>
      <c r="U33" s="444"/>
      <c r="V33" s="444"/>
      <c r="W33" s="444"/>
      <c r="X33" s="444"/>
      <c r="Y33" s="444"/>
      <c r="Z33" s="444"/>
      <c r="AA33" s="444"/>
      <c r="AB33" s="444"/>
      <c r="AC33" s="444"/>
    </row>
    <row r="34" spans="2:29">
      <c r="B34" s="585" t="s">
        <v>181</v>
      </c>
      <c r="C34" s="450">
        <f>F7</f>
        <v>0</v>
      </c>
      <c r="D34" s="451"/>
      <c r="E34" s="5">
        <f>D34*C34</f>
        <v>0</v>
      </c>
      <c r="F34" s="48"/>
      <c r="G34" s="2"/>
      <c r="H34" s="2"/>
      <c r="I34" s="51"/>
      <c r="J34" s="426"/>
      <c r="K34" s="51"/>
      <c r="L34" s="51"/>
      <c r="M34" s="51"/>
      <c r="N34" s="51"/>
      <c r="O34" s="51"/>
      <c r="P34" s="51"/>
      <c r="Q34" s="51"/>
      <c r="R34" s="51"/>
      <c r="S34" s="51"/>
      <c r="T34" s="51"/>
      <c r="U34" s="51"/>
      <c r="V34" s="51"/>
      <c r="W34" s="51"/>
      <c r="X34" s="51"/>
      <c r="Y34" s="51"/>
      <c r="Z34" s="51"/>
      <c r="AA34" s="51"/>
      <c r="AB34" s="51"/>
      <c r="AC34" s="51"/>
    </row>
    <row r="35" spans="2:29" ht="32.25" customHeight="1">
      <c r="B35" s="585"/>
      <c r="C35" s="447" t="s">
        <v>179</v>
      </c>
      <c r="D35" s="448" t="s">
        <v>180</v>
      </c>
      <c r="E35" s="5"/>
      <c r="F35" s="48"/>
      <c r="G35" s="2"/>
      <c r="H35" s="2"/>
      <c r="I35" s="51"/>
      <c r="J35" s="426"/>
      <c r="K35" s="51"/>
      <c r="L35" s="51"/>
      <c r="M35" s="51"/>
      <c r="N35" s="51"/>
      <c r="O35" s="51"/>
      <c r="P35" s="51"/>
      <c r="Q35" s="51"/>
      <c r="R35" s="51"/>
      <c r="S35" s="51"/>
      <c r="T35" s="51"/>
      <c r="U35" s="51"/>
      <c r="V35" s="51"/>
      <c r="W35" s="51"/>
      <c r="X35" s="51"/>
      <c r="Y35" s="51"/>
      <c r="Z35" s="51"/>
      <c r="AA35" s="51"/>
      <c r="AB35" s="51"/>
      <c r="AC35" s="51"/>
    </row>
    <row r="36" spans="2:29">
      <c r="B36" s="585" t="s">
        <v>27</v>
      </c>
      <c r="C36" s="450">
        <f>F8</f>
        <v>0</v>
      </c>
      <c r="D36" s="451"/>
      <c r="E36" s="5">
        <f>D36*C36</f>
        <v>0</v>
      </c>
      <c r="F36" s="48"/>
      <c r="G36" s="2"/>
      <c r="H36" s="2"/>
      <c r="I36" s="51"/>
      <c r="J36" s="426"/>
      <c r="K36" s="51"/>
      <c r="L36" s="51"/>
      <c r="M36" s="51"/>
      <c r="N36" s="51"/>
      <c r="O36" s="51"/>
      <c r="P36" s="51"/>
      <c r="Q36" s="51"/>
      <c r="R36" s="51"/>
      <c r="S36" s="51"/>
      <c r="T36" s="51"/>
      <c r="U36" s="51"/>
      <c r="V36" s="51"/>
      <c r="W36" s="51"/>
      <c r="X36" s="51"/>
      <c r="Y36" s="51"/>
      <c r="Z36" s="51"/>
      <c r="AA36" s="51"/>
      <c r="AB36" s="51"/>
      <c r="AC36" s="51"/>
    </row>
    <row r="37" spans="2:29">
      <c r="B37" s="587"/>
      <c r="C37" s="51"/>
      <c r="D37" s="51"/>
      <c r="E37" s="51"/>
      <c r="F37" s="51"/>
      <c r="G37" s="51"/>
      <c r="H37" s="51"/>
      <c r="I37" s="51"/>
      <c r="J37" s="426"/>
      <c r="K37" s="51"/>
      <c r="L37" s="51"/>
      <c r="M37" s="51"/>
      <c r="N37" s="51"/>
      <c r="O37" s="51"/>
      <c r="P37" s="51"/>
      <c r="Q37" s="51"/>
      <c r="R37" s="51"/>
      <c r="S37" s="51"/>
      <c r="T37" s="51"/>
      <c r="U37" s="51"/>
      <c r="V37" s="51"/>
      <c r="W37" s="51"/>
      <c r="X37" s="51"/>
      <c r="Y37" s="51"/>
      <c r="Z37" s="51"/>
      <c r="AA37" s="51"/>
      <c r="AB37" s="51"/>
      <c r="AC37" s="51"/>
    </row>
    <row r="38" spans="2:29" s="84" customFormat="1" ht="15" customHeight="1">
      <c r="B38" s="588"/>
      <c r="C38" s="441" t="s">
        <v>182</v>
      </c>
      <c r="D38" s="441" t="s">
        <v>183</v>
      </c>
      <c r="E38" s="441" t="s">
        <v>175</v>
      </c>
      <c r="F38" s="443"/>
      <c r="G38" s="443"/>
      <c r="H38" s="444"/>
      <c r="I38" s="444"/>
      <c r="J38" s="445"/>
      <c r="K38" s="444"/>
      <c r="L38" s="444"/>
      <c r="M38" s="444"/>
      <c r="N38" s="444"/>
      <c r="O38" s="444"/>
      <c r="P38" s="444"/>
      <c r="Q38" s="444"/>
      <c r="R38" s="444"/>
      <c r="S38" s="444"/>
      <c r="T38" s="444"/>
      <c r="U38" s="444"/>
      <c r="V38" s="444"/>
      <c r="W38" s="444"/>
      <c r="X38" s="444"/>
      <c r="Y38" s="444"/>
      <c r="Z38" s="444"/>
      <c r="AA38" s="444"/>
      <c r="AB38" s="444"/>
      <c r="AC38" s="444"/>
    </row>
    <row r="39" spans="2:29">
      <c r="B39" s="585" t="s">
        <v>184</v>
      </c>
      <c r="C39" s="450">
        <f>+C23</f>
        <v>0</v>
      </c>
      <c r="D39" s="451"/>
      <c r="E39" s="5">
        <f>C39*D39</f>
        <v>0</v>
      </c>
      <c r="F39" s="2"/>
      <c r="G39" s="2"/>
      <c r="H39" s="51"/>
      <c r="I39" s="51"/>
      <c r="J39" s="426"/>
      <c r="K39" s="51"/>
      <c r="L39" s="51"/>
      <c r="M39" s="51"/>
      <c r="N39" s="51"/>
      <c r="O39" s="51"/>
      <c r="P39" s="51"/>
      <c r="Q39" s="51"/>
      <c r="R39" s="51"/>
      <c r="S39" s="51"/>
      <c r="T39" s="51"/>
      <c r="U39" s="51"/>
      <c r="V39" s="51"/>
      <c r="W39" s="51"/>
      <c r="X39" s="51"/>
      <c r="Y39" s="51"/>
      <c r="Z39" s="51"/>
      <c r="AA39" s="51"/>
      <c r="AB39" s="51"/>
      <c r="AC39" s="51"/>
    </row>
    <row r="40" spans="2:29">
      <c r="B40" s="587"/>
      <c r="C40" s="51"/>
      <c r="D40" s="409"/>
      <c r="E40" s="51"/>
      <c r="F40" s="51"/>
      <c r="G40" s="51"/>
      <c r="H40" s="51"/>
      <c r="I40" s="51"/>
      <c r="J40" s="426"/>
      <c r="K40" s="51"/>
      <c r="L40" s="51"/>
      <c r="M40" s="51"/>
      <c r="N40" s="51"/>
      <c r="O40" s="51"/>
      <c r="P40" s="51"/>
      <c r="Q40" s="1"/>
      <c r="R40" s="2"/>
      <c r="S40" s="2"/>
      <c r="T40" s="2"/>
      <c r="U40" s="2"/>
      <c r="V40" s="51"/>
      <c r="W40" s="51"/>
      <c r="X40" s="51"/>
      <c r="Y40" s="51"/>
      <c r="Z40" s="51"/>
      <c r="AA40" s="51"/>
      <c r="AB40" s="51"/>
      <c r="AC40" s="51"/>
    </row>
    <row r="41" spans="2:29">
      <c r="B41" s="587"/>
      <c r="C41" s="2"/>
      <c r="D41" s="64" t="s">
        <v>185</v>
      </c>
      <c r="E41" s="7">
        <f>E39+E34+E30+E36</f>
        <v>0</v>
      </c>
      <c r="F41" s="70" t="e">
        <f>E41/$J$119</f>
        <v>#DIV/0!</v>
      </c>
      <c r="G41" s="5"/>
      <c r="H41" s="51"/>
      <c r="I41" s="51"/>
      <c r="J41" s="426"/>
      <c r="K41" s="51"/>
      <c r="L41" s="51"/>
      <c r="M41" s="51"/>
      <c r="N41" s="51"/>
      <c r="O41" s="51"/>
      <c r="P41" s="51"/>
      <c r="Q41" s="1"/>
      <c r="R41" s="2"/>
      <c r="S41" s="2"/>
      <c r="T41" s="2"/>
      <c r="U41" s="2"/>
      <c r="V41" s="51"/>
      <c r="W41" s="51"/>
      <c r="X41" s="51"/>
      <c r="Y41" s="51"/>
      <c r="Z41" s="51"/>
      <c r="AA41" s="51"/>
      <c r="AB41" s="51"/>
      <c r="AC41" s="51"/>
    </row>
    <row r="42" spans="2:29">
      <c r="B42" s="439"/>
      <c r="C42" s="430"/>
      <c r="D42" s="430"/>
      <c r="E42" s="430"/>
      <c r="F42" s="430"/>
      <c r="G42" s="345"/>
      <c r="H42" s="430"/>
      <c r="I42" s="430"/>
      <c r="J42" s="431"/>
      <c r="K42" s="51"/>
      <c r="L42" s="51"/>
      <c r="M42" s="51"/>
      <c r="N42" s="51"/>
      <c r="O42" s="51"/>
      <c r="P42" s="51"/>
      <c r="Q42" s="123"/>
      <c r="R42" s="441"/>
      <c r="S42" s="441"/>
      <c r="T42" s="441"/>
      <c r="U42" s="452"/>
      <c r="V42" s="51"/>
      <c r="W42" s="51"/>
      <c r="X42" s="51"/>
      <c r="Y42" s="51"/>
      <c r="Z42" s="51"/>
      <c r="AA42" s="51"/>
      <c r="AB42" s="51"/>
      <c r="AC42" s="51"/>
    </row>
    <row r="43" spans="2:29" ht="17" thickBot="1">
      <c r="B43" s="51"/>
      <c r="C43" s="2"/>
      <c r="D43" s="2"/>
      <c r="E43" s="2"/>
      <c r="F43" s="2"/>
      <c r="G43" s="2"/>
      <c r="H43" s="51"/>
      <c r="I43" s="51"/>
      <c r="J43" s="51"/>
      <c r="K43" s="51"/>
      <c r="L43" s="51"/>
      <c r="M43" s="51"/>
      <c r="N43" s="51"/>
      <c r="O43" s="51"/>
      <c r="P43" s="51"/>
      <c r="Q43" s="2"/>
      <c r="R43" s="2"/>
      <c r="S43" s="453"/>
      <c r="T43" s="5"/>
      <c r="U43" s="51"/>
      <c r="V43" s="51"/>
      <c r="W43" s="51"/>
      <c r="X43" s="51"/>
      <c r="Y43" s="51"/>
      <c r="Z43" s="51"/>
      <c r="AA43" s="51"/>
      <c r="AB43" s="51"/>
      <c r="AC43" s="51"/>
    </row>
    <row r="44" spans="2:29" ht="17" thickTop="1">
      <c r="B44" s="77" t="s">
        <v>186</v>
      </c>
      <c r="C44" s="124"/>
      <c r="D44" s="124"/>
      <c r="E44" s="124"/>
      <c r="F44" s="124"/>
      <c r="G44" s="124"/>
      <c r="H44" s="124"/>
      <c r="I44" s="124"/>
      <c r="J44" s="423"/>
      <c r="K44"/>
      <c r="L44"/>
      <c r="M44" s="193" t="s">
        <v>187</v>
      </c>
      <c r="N44" s="195"/>
      <c r="O44" s="454"/>
      <c r="P44" s="454"/>
      <c r="Q44" s="194"/>
      <c r="R44" s="195"/>
      <c r="S44" s="195"/>
      <c r="T44" s="196"/>
      <c r="U44" s="454"/>
      <c r="V44" s="454"/>
      <c r="W44" s="455"/>
      <c r="X44" s="51"/>
      <c r="Y44" s="51"/>
      <c r="Z44" s="51"/>
      <c r="AA44" s="51"/>
      <c r="AB44" s="51"/>
      <c r="AC44" s="51"/>
    </row>
    <row r="45" spans="2:29" ht="47.25" customHeight="1">
      <c r="B45" s="587"/>
      <c r="C45" s="51"/>
      <c r="D45" s="51"/>
      <c r="E45" s="51"/>
      <c r="F45" s="456"/>
      <c r="G45" s="440"/>
      <c r="H45" s="190" t="s">
        <v>188</v>
      </c>
      <c r="I45" s="190" t="s">
        <v>189</v>
      </c>
      <c r="J45" s="457" t="s">
        <v>190</v>
      </c>
      <c r="K45" s="277"/>
      <c r="L45"/>
      <c r="M45" s="197"/>
      <c r="N45" s="192" t="s">
        <v>191</v>
      </c>
      <c r="O45" s="458">
        <f>B61</f>
        <v>0.27</v>
      </c>
      <c r="P45" s="458">
        <f>B69</f>
        <v>0.37</v>
      </c>
      <c r="Q45" s="458">
        <f>B77</f>
        <v>0.47</v>
      </c>
      <c r="R45" s="458">
        <f>B85</f>
        <v>0.56999999999999995</v>
      </c>
      <c r="S45" s="458">
        <f>B93</f>
        <v>0.8</v>
      </c>
      <c r="T45" s="458">
        <f>B101</f>
        <v>1</v>
      </c>
      <c r="U45" s="192" t="s">
        <v>169</v>
      </c>
      <c r="V45" s="661" t="s">
        <v>95</v>
      </c>
      <c r="W45" s="662"/>
      <c r="X45" s="51"/>
      <c r="Y45" s="51"/>
      <c r="Z45" s="51"/>
      <c r="AA45" s="51"/>
      <c r="AB45" s="51"/>
      <c r="AC45" s="51"/>
    </row>
    <row r="46" spans="2:29">
      <c r="B46" s="207" t="s">
        <v>192</v>
      </c>
      <c r="C46" s="188">
        <f>'AMI &amp; Rent'!A5</f>
        <v>141200</v>
      </c>
      <c r="D46" s="459" t="s">
        <v>193</v>
      </c>
      <c r="E46" s="51"/>
      <c r="F46" s="590" t="s">
        <v>194</v>
      </c>
      <c r="G46" s="300" t="s">
        <v>195</v>
      </c>
      <c r="H46" s="460">
        <f>'AMI &amp; Rent'!F5</f>
        <v>75</v>
      </c>
      <c r="I46" s="460">
        <f>'AMI &amp; Rent'!E5</f>
        <v>86</v>
      </c>
      <c r="J46" s="461">
        <f>'AMI &amp; Rent'!G5</f>
        <v>24</v>
      </c>
      <c r="K46" s="277"/>
      <c r="L46"/>
      <c r="M46" s="199" t="s">
        <v>195</v>
      </c>
      <c r="N46" s="462">
        <f>I55</f>
        <v>0</v>
      </c>
      <c r="O46" s="462">
        <f>I63</f>
        <v>0</v>
      </c>
      <c r="P46" s="462">
        <f>I71</f>
        <v>0</v>
      </c>
      <c r="Q46" s="462">
        <f>I79</f>
        <v>0</v>
      </c>
      <c r="R46" s="462">
        <f>I87</f>
        <v>0</v>
      </c>
      <c r="S46" s="462">
        <f>I95</f>
        <v>0</v>
      </c>
      <c r="T46" s="462">
        <f>I103</f>
        <v>0</v>
      </c>
      <c r="U46" s="462">
        <v>0</v>
      </c>
      <c r="V46" s="462">
        <f>SUM(N46:U46)</f>
        <v>0</v>
      </c>
      <c r="W46" s="463" t="e">
        <f>V46/$V$50</f>
        <v>#DIV/0!</v>
      </c>
      <c r="X46" s="51"/>
      <c r="Y46" s="51"/>
      <c r="Z46" s="51"/>
      <c r="AA46" s="51"/>
      <c r="AB46" s="51"/>
      <c r="AC46" s="208" t="s">
        <v>196</v>
      </c>
    </row>
    <row r="47" spans="2:29">
      <c r="B47" s="464"/>
      <c r="C47" s="188">
        <f>'AMI &amp; Rent'!A6</f>
        <v>2451</v>
      </c>
      <c r="D47" s="465" t="s">
        <v>197</v>
      </c>
      <c r="E47" s="51"/>
      <c r="F47" s="590" t="s">
        <v>198</v>
      </c>
      <c r="G47" s="300" t="s">
        <v>199</v>
      </c>
      <c r="H47" s="460">
        <f>'AMI &amp; Rent'!F6</f>
        <v>85</v>
      </c>
      <c r="I47" s="460">
        <f>'AMI &amp; Rent'!E6</f>
        <v>98</v>
      </c>
      <c r="J47" s="461">
        <f>'AMI &amp; Rent'!G6</f>
        <v>27</v>
      </c>
      <c r="K47" s="277"/>
      <c r="L47"/>
      <c r="M47" s="200" t="s">
        <v>199</v>
      </c>
      <c r="N47" s="466">
        <f>I56</f>
        <v>0</v>
      </c>
      <c r="O47" s="466">
        <f>I64</f>
        <v>0</v>
      </c>
      <c r="P47" s="466">
        <f>I72</f>
        <v>0</v>
      </c>
      <c r="Q47" s="466">
        <f>I80</f>
        <v>0</v>
      </c>
      <c r="R47" s="466">
        <f>I88</f>
        <v>0</v>
      </c>
      <c r="S47" s="466">
        <f>I96</f>
        <v>0</v>
      </c>
      <c r="T47" s="466">
        <f>I104</f>
        <v>0</v>
      </c>
      <c r="U47" s="466">
        <v>0</v>
      </c>
      <c r="V47" s="466">
        <f>SUM(N47:U47)</f>
        <v>0</v>
      </c>
      <c r="W47" s="467" t="e">
        <f>V47/$V$50</f>
        <v>#DIV/0!</v>
      </c>
      <c r="X47" s="51"/>
      <c r="Y47" s="51"/>
      <c r="Z47" s="51"/>
      <c r="AA47" s="51"/>
      <c r="AB47" s="51"/>
      <c r="AC47" s="208" t="s">
        <v>188</v>
      </c>
    </row>
    <row r="48" spans="2:29">
      <c r="B48" s="587"/>
      <c r="C48" s="51"/>
      <c r="D48" s="51"/>
      <c r="E48" s="51"/>
      <c r="F48" s="590" t="s">
        <v>200</v>
      </c>
      <c r="G48" s="300" t="s">
        <v>201</v>
      </c>
      <c r="H48" s="460">
        <f>'AMI &amp; Rent'!F7</f>
        <v>110</v>
      </c>
      <c r="I48" s="460">
        <f>'AMI &amp; Rent'!E7</f>
        <v>129</v>
      </c>
      <c r="J48" s="461">
        <f>'AMI &amp; Rent'!G7</f>
        <v>31</v>
      </c>
      <c r="K48" s="319"/>
      <c r="L48"/>
      <c r="M48" s="200" t="s">
        <v>201</v>
      </c>
      <c r="N48" s="466">
        <f>I57</f>
        <v>0</v>
      </c>
      <c r="O48" s="466">
        <f>I65</f>
        <v>0</v>
      </c>
      <c r="P48" s="466">
        <f>I73</f>
        <v>0</v>
      </c>
      <c r="Q48" s="466">
        <f>I81</f>
        <v>0</v>
      </c>
      <c r="R48" s="466">
        <f>I89</f>
        <v>0</v>
      </c>
      <c r="S48" s="466">
        <f>I97</f>
        <v>0</v>
      </c>
      <c r="T48" s="466">
        <f>I105</f>
        <v>0</v>
      </c>
      <c r="U48" s="468">
        <f>C22</f>
        <v>0</v>
      </c>
      <c r="V48" s="466">
        <f>SUM(N48:U48)</f>
        <v>0</v>
      </c>
      <c r="W48" s="467" t="e">
        <f>V48/$V$50</f>
        <v>#DIV/0!</v>
      </c>
      <c r="X48" s="51"/>
      <c r="Y48" s="51"/>
      <c r="Z48" s="51"/>
      <c r="AA48" s="51"/>
      <c r="AB48" s="51"/>
      <c r="AC48" s="208" t="s">
        <v>189</v>
      </c>
    </row>
    <row r="49" spans="2:29" ht="15" customHeight="1">
      <c r="B49" s="663" t="s">
        <v>202</v>
      </c>
      <c r="C49" s="664" t="s">
        <v>196</v>
      </c>
      <c r="D49" s="664"/>
      <c r="E49" s="51"/>
      <c r="F49" s="469" t="s">
        <v>203</v>
      </c>
      <c r="G49" s="470" t="s">
        <v>204</v>
      </c>
      <c r="H49" s="471">
        <f>'AMI &amp; Rent'!F8</f>
        <v>136</v>
      </c>
      <c r="I49" s="471">
        <f>'AMI &amp; Rent'!E8</f>
        <v>161</v>
      </c>
      <c r="J49" s="472">
        <f>'AMI &amp; Rent'!G8</f>
        <v>35</v>
      </c>
      <c r="K49" s="473"/>
      <c r="L49"/>
      <c r="M49" s="201" t="s">
        <v>204</v>
      </c>
      <c r="N49" s="474">
        <f>I58</f>
        <v>0</v>
      </c>
      <c r="O49" s="474">
        <f>I66</f>
        <v>0</v>
      </c>
      <c r="P49" s="474">
        <f>I74</f>
        <v>0</v>
      </c>
      <c r="Q49" s="474">
        <f>I82</f>
        <v>0</v>
      </c>
      <c r="R49" s="474">
        <f>I90</f>
        <v>0</v>
      </c>
      <c r="S49" s="474">
        <f>I98</f>
        <v>0</v>
      </c>
      <c r="T49" s="474">
        <f>I106</f>
        <v>0</v>
      </c>
      <c r="U49" s="474">
        <v>0</v>
      </c>
      <c r="V49" s="474">
        <f>SUM(N49:U49)</f>
        <v>0</v>
      </c>
      <c r="W49" s="475" t="e">
        <f>V49/$V$50</f>
        <v>#DIV/0!</v>
      </c>
      <c r="X49" s="51"/>
      <c r="Y49" s="51"/>
      <c r="Z49" s="51"/>
      <c r="AA49" s="51"/>
      <c r="AB49" s="51"/>
      <c r="AC49" s="208" t="s">
        <v>190</v>
      </c>
    </row>
    <row r="50" spans="2:29">
      <c r="B50" s="663"/>
      <c r="C50" s="664"/>
      <c r="D50" s="664"/>
      <c r="E50" s="51"/>
      <c r="F50" s="476"/>
      <c r="G50" s="477"/>
      <c r="H50" s="300"/>
      <c r="I50" s="277"/>
      <c r="J50" s="478"/>
      <c r="K50" s="191"/>
      <c r="L50"/>
      <c r="M50" s="197"/>
      <c r="N50" s="277">
        <f>SUM(N46:N49)</f>
        <v>0</v>
      </c>
      <c r="O50" s="277">
        <f>SUM(O46:O49)</f>
        <v>0</v>
      </c>
      <c r="P50" s="277">
        <f t="shared" ref="P50:V50" si="1">SUM(P46:P49)</f>
        <v>0</v>
      </c>
      <c r="Q50" s="277">
        <f t="shared" si="1"/>
        <v>0</v>
      </c>
      <c r="R50" s="277">
        <f t="shared" si="1"/>
        <v>0</v>
      </c>
      <c r="S50" s="277">
        <f t="shared" si="1"/>
        <v>0</v>
      </c>
      <c r="T50" s="277">
        <f t="shared" si="1"/>
        <v>0</v>
      </c>
      <c r="U50" s="277">
        <f t="shared" si="1"/>
        <v>0</v>
      </c>
      <c r="V50" s="277">
        <f t="shared" si="1"/>
        <v>0</v>
      </c>
      <c r="W50" s="479"/>
      <c r="X50" s="51"/>
      <c r="Y50" s="51"/>
      <c r="Z50" s="51"/>
      <c r="AA50" s="51"/>
      <c r="AB50" s="51"/>
      <c r="AC50" s="208" t="s">
        <v>205</v>
      </c>
    </row>
    <row r="51" spans="2:29">
      <c r="B51" s="587"/>
      <c r="C51" s="51"/>
      <c r="D51" s="51"/>
      <c r="E51" s="51"/>
      <c r="F51" s="476"/>
      <c r="G51" s="477"/>
      <c r="H51" s="300"/>
      <c r="I51" s="277"/>
      <c r="J51" s="478"/>
      <c r="K51" s="191"/>
      <c r="L51"/>
      <c r="M51" s="198"/>
      <c r="N51" s="202" t="e">
        <f>N50/$V$50</f>
        <v>#DIV/0!</v>
      </c>
      <c r="O51" s="202" t="e">
        <f>O50/$V$50</f>
        <v>#DIV/0!</v>
      </c>
      <c r="P51" s="202" t="e">
        <f t="shared" ref="P51:U51" si="2">P50/$V$50</f>
        <v>#DIV/0!</v>
      </c>
      <c r="Q51" s="202" t="e">
        <f t="shared" si="2"/>
        <v>#DIV/0!</v>
      </c>
      <c r="R51" s="202" t="e">
        <f t="shared" si="2"/>
        <v>#DIV/0!</v>
      </c>
      <c r="S51" s="202" t="e">
        <f t="shared" si="2"/>
        <v>#DIV/0!</v>
      </c>
      <c r="T51" s="202" t="e">
        <f t="shared" si="2"/>
        <v>#DIV/0!</v>
      </c>
      <c r="U51" s="202" t="e">
        <f t="shared" si="2"/>
        <v>#DIV/0!</v>
      </c>
      <c r="V51" s="480"/>
      <c r="W51" s="481"/>
      <c r="X51" s="51"/>
      <c r="Y51" s="51"/>
      <c r="Z51" s="51"/>
      <c r="AA51" s="51"/>
      <c r="AB51" s="51"/>
      <c r="AC51" s="208"/>
    </row>
    <row r="52" spans="2:29">
      <c r="B52" s="591" t="s">
        <v>206</v>
      </c>
      <c r="C52" s="51"/>
      <c r="D52" s="51"/>
      <c r="E52" s="410"/>
      <c r="F52" s="410"/>
      <c r="G52" s="482"/>
      <c r="H52" s="482"/>
      <c r="I52" s="482"/>
      <c r="J52" s="483"/>
      <c r="K52" s="277"/>
      <c r="L52"/>
      <c r="M52"/>
      <c r="N52"/>
      <c r="O52" s="51"/>
      <c r="P52" s="51"/>
      <c r="Q52" s="51"/>
      <c r="R52" s="51"/>
      <c r="S52" s="51"/>
      <c r="T52" s="51"/>
      <c r="U52" s="51"/>
      <c r="V52" s="51"/>
      <c r="W52" s="51"/>
      <c r="X52" s="51"/>
      <c r="Y52" s="51"/>
      <c r="Z52" s="51"/>
      <c r="AA52" s="51"/>
      <c r="AB52" s="51"/>
      <c r="AC52" s="51"/>
    </row>
    <row r="53" spans="2:29">
      <c r="B53" s="279" t="s">
        <v>207</v>
      </c>
      <c r="C53" s="161" t="s">
        <v>208</v>
      </c>
      <c r="D53" s="484">
        <f>$C$46*B53</f>
        <v>0</v>
      </c>
      <c r="E53" s="43" t="s">
        <v>209</v>
      </c>
      <c r="F53" s="51"/>
      <c r="G53" s="277"/>
      <c r="H53" s="277"/>
      <c r="I53" s="277"/>
      <c r="J53" s="478"/>
      <c r="K53" s="277"/>
      <c r="L53"/>
      <c r="M53"/>
      <c r="N53"/>
      <c r="O53" s="51"/>
      <c r="P53" s="51"/>
      <c r="Q53" s="51"/>
      <c r="R53" s="51"/>
      <c r="S53" s="51"/>
      <c r="T53" s="51"/>
      <c r="U53" s="51"/>
      <c r="V53" s="51"/>
      <c r="W53" s="51"/>
      <c r="X53" s="51"/>
      <c r="Y53" s="51"/>
      <c r="Z53" s="51"/>
      <c r="AA53" s="51"/>
      <c r="AB53" s="51"/>
      <c r="AC53" s="51"/>
    </row>
    <row r="54" spans="2:29" ht="34">
      <c r="B54" s="592" t="s">
        <v>210</v>
      </c>
      <c r="C54" s="300" t="s">
        <v>211</v>
      </c>
      <c r="D54" s="485" t="s">
        <v>212</v>
      </c>
      <c r="E54" s="51" t="s">
        <v>213</v>
      </c>
      <c r="F54" s="486" t="s">
        <v>214</v>
      </c>
      <c r="G54" s="487" t="s">
        <v>215</v>
      </c>
      <c r="H54" s="488" t="s">
        <v>216</v>
      </c>
      <c r="I54" s="319" t="s">
        <v>217</v>
      </c>
      <c r="J54" s="489" t="s">
        <v>218</v>
      </c>
      <c r="K54" s="51"/>
      <c r="L54"/>
      <c r="M54"/>
      <c r="N54"/>
      <c r="O54" s="51"/>
      <c r="P54" s="51"/>
      <c r="Q54" s="51"/>
      <c r="R54" s="51"/>
      <c r="S54" s="51"/>
      <c r="T54" s="51"/>
      <c r="U54" s="51"/>
      <c r="V54" s="51"/>
      <c r="W54" s="51"/>
      <c r="X54" s="51"/>
      <c r="Y54" s="51"/>
      <c r="Z54" s="51"/>
      <c r="AA54" s="51"/>
      <c r="AB54" s="51"/>
      <c r="AC54" s="51"/>
    </row>
    <row r="55" spans="2:29">
      <c r="B55" s="593" t="s">
        <v>195</v>
      </c>
      <c r="C55" s="300">
        <v>1</v>
      </c>
      <c r="D55" s="490">
        <v>0.6</v>
      </c>
      <c r="E55" s="476">
        <f>$D$53*D55</f>
        <v>0</v>
      </c>
      <c r="F55" s="473">
        <f>ROUNDDOWN(E55*0.3/12,0)</f>
        <v>0</v>
      </c>
      <c r="G55" s="491">
        <f>G63</f>
        <v>0</v>
      </c>
      <c r="H55" s="492">
        <v>215</v>
      </c>
      <c r="I55" s="493"/>
      <c r="J55" s="494">
        <f>H55*I55*12</f>
        <v>0</v>
      </c>
      <c r="K55" s="51"/>
      <c r="L55"/>
      <c r="M55"/>
      <c r="N55"/>
      <c r="O55" s="51"/>
      <c r="P55" s="51"/>
      <c r="Q55" s="51"/>
      <c r="R55" s="51"/>
      <c r="S55" s="51"/>
      <c r="T55" s="51"/>
      <c r="U55" s="51"/>
      <c r="V55" s="51"/>
      <c r="W55" s="51"/>
      <c r="X55" s="51"/>
      <c r="Y55" s="51"/>
      <c r="Z55" s="51"/>
      <c r="AA55" s="51"/>
      <c r="AB55" s="51"/>
      <c r="AC55" s="51"/>
    </row>
    <row r="56" spans="2:29">
      <c r="B56" s="593" t="s">
        <v>199</v>
      </c>
      <c r="C56" s="300">
        <v>1.5</v>
      </c>
      <c r="D56" s="490">
        <v>0.75</v>
      </c>
      <c r="E56" s="476">
        <f>$D$53*D56</f>
        <v>0</v>
      </c>
      <c r="F56" s="473">
        <f>ROUND(E56*0.3/12,0)</f>
        <v>0</v>
      </c>
      <c r="G56" s="491">
        <f>G64</f>
        <v>0</v>
      </c>
      <c r="H56" s="492">
        <v>283</v>
      </c>
      <c r="I56" s="493"/>
      <c r="J56" s="494">
        <f>H56*I56*12</f>
        <v>0</v>
      </c>
      <c r="K56" s="51"/>
      <c r="L56"/>
      <c r="M56"/>
      <c r="N56"/>
      <c r="O56" s="51"/>
      <c r="P56" s="51"/>
      <c r="Q56" s="51"/>
      <c r="R56" s="51"/>
      <c r="S56" s="51"/>
      <c r="T56" s="51"/>
      <c r="U56" s="51"/>
      <c r="V56" s="51"/>
      <c r="W56" s="51"/>
      <c r="X56" s="51"/>
      <c r="Y56" s="51"/>
      <c r="Z56" s="51"/>
      <c r="AA56" s="51"/>
      <c r="AB56" s="51"/>
      <c r="AC56" s="51"/>
    </row>
    <row r="57" spans="2:29">
      <c r="B57" s="593" t="s">
        <v>201</v>
      </c>
      <c r="C57" s="300">
        <v>3</v>
      </c>
      <c r="D57" s="490">
        <v>0.9</v>
      </c>
      <c r="E57" s="476">
        <f>$D$53*D57</f>
        <v>0</v>
      </c>
      <c r="F57" s="473">
        <f>ROUNDDOWN(E57*0.3/12,0)</f>
        <v>0</v>
      </c>
      <c r="G57" s="491">
        <f>G65</f>
        <v>0</v>
      </c>
      <c r="H57" s="492">
        <v>425</v>
      </c>
      <c r="I57" s="493"/>
      <c r="J57" s="494">
        <f>H57*I57*12</f>
        <v>0</v>
      </c>
      <c r="K57" s="51"/>
      <c r="L57"/>
      <c r="M57"/>
      <c r="N57"/>
      <c r="O57" s="51"/>
      <c r="P57" s="51"/>
      <c r="Q57" s="51"/>
      <c r="R57" s="51"/>
      <c r="S57" s="51"/>
      <c r="T57" s="51"/>
      <c r="U57" s="51"/>
      <c r="V57" s="51"/>
      <c r="W57" s="51"/>
      <c r="X57" s="51"/>
      <c r="Y57" s="51"/>
      <c r="Z57" s="51"/>
      <c r="AA57" s="51"/>
      <c r="AB57" s="51"/>
      <c r="AC57" s="51"/>
    </row>
    <row r="58" spans="2:29">
      <c r="B58" s="593" t="s">
        <v>204</v>
      </c>
      <c r="C58" s="300">
        <v>4.5</v>
      </c>
      <c r="D58" s="490">
        <v>1.04</v>
      </c>
      <c r="E58" s="476">
        <f>$D$53*D58</f>
        <v>0</v>
      </c>
      <c r="F58" s="473">
        <f>ROUNDDOWN(E58*0.3/12,0)</f>
        <v>0</v>
      </c>
      <c r="G58" s="491">
        <f>G66</f>
        <v>0</v>
      </c>
      <c r="H58" s="492">
        <v>512</v>
      </c>
      <c r="I58" s="493"/>
      <c r="J58" s="494">
        <f>H58*I58*12</f>
        <v>0</v>
      </c>
      <c r="K58" s="51"/>
      <c r="L58"/>
      <c r="M58"/>
      <c r="N58"/>
      <c r="O58" s="51"/>
      <c r="P58" s="51"/>
      <c r="Q58" s="51"/>
      <c r="R58" s="51"/>
      <c r="S58" s="51"/>
      <c r="T58" s="51"/>
      <c r="U58" s="51"/>
      <c r="V58" s="51"/>
      <c r="W58" s="51"/>
      <c r="X58" s="51"/>
      <c r="Y58" s="51"/>
      <c r="Z58" s="51"/>
      <c r="AA58" s="51"/>
      <c r="AB58" s="51"/>
      <c r="AC58" s="51"/>
    </row>
    <row r="59" spans="2:29">
      <c r="B59" s="587"/>
      <c r="C59" s="277"/>
      <c r="D59" s="277"/>
      <c r="E59" s="277"/>
      <c r="F59" s="51"/>
      <c r="G59" s="495"/>
      <c r="H59" s="495"/>
      <c r="I59" s="277">
        <f>SUM(I55:I58)</f>
        <v>0</v>
      </c>
      <c r="J59" s="494">
        <f>SUM(J55:J58)</f>
        <v>0</v>
      </c>
      <c r="K59" s="277"/>
      <c r="L59"/>
      <c r="M59"/>
      <c r="N59"/>
      <c r="O59" s="51"/>
      <c r="P59" s="51"/>
      <c r="Q59" s="51"/>
      <c r="R59" s="51"/>
      <c r="S59" s="51"/>
      <c r="T59" s="51"/>
      <c r="U59" s="51"/>
      <c r="V59" s="51"/>
      <c r="W59" s="51"/>
      <c r="X59" s="51"/>
      <c r="Y59" s="51"/>
      <c r="Z59" s="51"/>
      <c r="AA59" s="51"/>
      <c r="AB59" s="51"/>
      <c r="AC59" s="51"/>
    </row>
    <row r="60" spans="2:29">
      <c r="B60" s="587"/>
      <c r="C60" s="482"/>
      <c r="D60" s="482"/>
      <c r="E60" s="482"/>
      <c r="F60" s="410"/>
      <c r="G60" s="496"/>
      <c r="H60" s="496"/>
      <c r="I60" s="482"/>
      <c r="J60" s="483"/>
      <c r="K60" s="277"/>
      <c r="L60"/>
      <c r="M60"/>
      <c r="N60"/>
      <c r="O60" s="51"/>
      <c r="P60" s="51"/>
      <c r="Q60" s="51"/>
      <c r="R60" s="51"/>
      <c r="S60" s="51"/>
      <c r="T60" s="51"/>
      <c r="U60" s="51"/>
      <c r="V60" s="51"/>
      <c r="W60" s="51"/>
      <c r="X60" s="51"/>
      <c r="Y60" s="51"/>
      <c r="Z60" s="51"/>
      <c r="AA60" s="51"/>
      <c r="AB60" s="51"/>
      <c r="AC60" s="51"/>
    </row>
    <row r="61" spans="2:29">
      <c r="B61" s="279">
        <v>0.27</v>
      </c>
      <c r="C61" s="161" t="s">
        <v>208</v>
      </c>
      <c r="D61" s="484">
        <f>$C$46*B61</f>
        <v>38124</v>
      </c>
      <c r="E61" s="277"/>
      <c r="F61" s="51"/>
      <c r="G61" s="495"/>
      <c r="H61" s="495"/>
      <c r="I61" s="277"/>
      <c r="J61" s="478"/>
      <c r="K61" s="277"/>
      <c r="L61"/>
      <c r="M61"/>
      <c r="N61"/>
      <c r="O61" s="51"/>
      <c r="P61" s="51"/>
      <c r="Q61" s="51"/>
      <c r="R61" s="51"/>
      <c r="S61" s="51"/>
      <c r="T61" s="51"/>
      <c r="U61" s="51"/>
      <c r="V61" s="51"/>
      <c r="W61" s="51"/>
      <c r="X61" s="51"/>
      <c r="Y61" s="51"/>
      <c r="Z61" s="51"/>
      <c r="AA61" s="51"/>
      <c r="AB61" s="51"/>
      <c r="AC61" s="51"/>
    </row>
    <row r="62" spans="2:29" ht="34">
      <c r="B62" s="592" t="s">
        <v>210</v>
      </c>
      <c r="C62" s="300" t="s">
        <v>211</v>
      </c>
      <c r="D62" s="485" t="s">
        <v>212</v>
      </c>
      <c r="E62" s="51" t="s">
        <v>213</v>
      </c>
      <c r="F62" s="486" t="s">
        <v>214</v>
      </c>
      <c r="G62" s="487" t="s">
        <v>215</v>
      </c>
      <c r="H62" s="488" t="s">
        <v>216</v>
      </c>
      <c r="I62" s="319" t="s">
        <v>217</v>
      </c>
      <c r="J62" s="489" t="s">
        <v>218</v>
      </c>
      <c r="K62" s="51"/>
      <c r="L62"/>
      <c r="M62"/>
      <c r="N62"/>
      <c r="O62" s="51"/>
      <c r="P62" s="51"/>
      <c r="Q62" s="51"/>
      <c r="R62" s="51"/>
      <c r="S62" s="51"/>
      <c r="T62" s="51"/>
      <c r="U62" s="51"/>
      <c r="V62" s="51"/>
      <c r="W62" s="51"/>
      <c r="X62" s="51"/>
      <c r="Y62" s="51"/>
      <c r="Z62" s="51"/>
      <c r="AA62" s="51"/>
      <c r="AB62" s="51"/>
      <c r="AC62" s="51"/>
    </row>
    <row r="63" spans="2:29">
      <c r="B63" s="593" t="s">
        <v>195</v>
      </c>
      <c r="C63" s="300">
        <v>1</v>
      </c>
      <c r="D63" s="490">
        <v>0.6</v>
      </c>
      <c r="E63" s="476">
        <f>$D$61*D63</f>
        <v>22874.399999999998</v>
      </c>
      <c r="F63" s="473">
        <f>'AMI &amp; Rent'!E22</f>
        <v>572</v>
      </c>
      <c r="G63" s="491">
        <f>IF($C$49="No Utilities",0,IF($C$49="Electricity &amp; Gas Allowance",H46+J46,INDEX($G$45:$J$49,MATCH(B63,$G$45:$G$49,0),MATCH($C$49,$G$45:$J$45,0))))*-1</f>
        <v>0</v>
      </c>
      <c r="H63" s="492">
        <f>F63+G63</f>
        <v>572</v>
      </c>
      <c r="I63" s="493"/>
      <c r="J63" s="494">
        <f>H63*I63*12</f>
        <v>0</v>
      </c>
      <c r="K63" s="51"/>
      <c r="L63"/>
      <c r="M63"/>
      <c r="N63"/>
      <c r="O63" s="51"/>
      <c r="P63" s="51"/>
      <c r="Q63" s="51"/>
      <c r="R63" s="51"/>
      <c r="S63" s="51"/>
      <c r="T63" s="51"/>
      <c r="U63" s="51"/>
      <c r="V63" s="51"/>
      <c r="W63" s="51"/>
      <c r="X63" s="51"/>
      <c r="Y63" s="51"/>
      <c r="Z63" s="51"/>
      <c r="AA63" s="51"/>
      <c r="AB63" s="51"/>
      <c r="AC63" s="51"/>
    </row>
    <row r="64" spans="2:29">
      <c r="B64" s="593" t="s">
        <v>199</v>
      </c>
      <c r="C64" s="300">
        <v>1.5</v>
      </c>
      <c r="D64" s="490">
        <v>0.75</v>
      </c>
      <c r="E64" s="476">
        <f>$D$61*D64</f>
        <v>28593</v>
      </c>
      <c r="F64" s="473">
        <f>'AMI &amp; Rent'!E23</f>
        <v>715</v>
      </c>
      <c r="G64" s="491">
        <f>IF($C$49="No Utilities",0,IF($C$49="Electricity &amp; Gas Allowance",H47+J47,INDEX($G$45:$J$49,MATCH(B64,$G$45:$G$49,0),MATCH($C$49,$G$45:$J$45,0))))*-1</f>
        <v>0</v>
      </c>
      <c r="H64" s="492">
        <f>F64+G64</f>
        <v>715</v>
      </c>
      <c r="I64" s="493"/>
      <c r="J64" s="494">
        <f>H64*I64*12</f>
        <v>0</v>
      </c>
      <c r="K64" s="51"/>
      <c r="L64"/>
      <c r="M64"/>
      <c r="N64"/>
      <c r="O64" s="51"/>
      <c r="P64" s="51"/>
      <c r="Q64" s="51"/>
      <c r="R64" s="51"/>
      <c r="S64" s="51"/>
      <c r="T64" s="51"/>
      <c r="U64" s="51"/>
      <c r="V64" s="51"/>
      <c r="W64" s="51"/>
      <c r="X64" s="51"/>
      <c r="Y64" s="51"/>
      <c r="Z64" s="51"/>
      <c r="AA64" s="51"/>
      <c r="AB64" s="51"/>
      <c r="AC64" s="51"/>
    </row>
    <row r="65" spans="2:14">
      <c r="B65" s="593" t="s">
        <v>201</v>
      </c>
      <c r="C65" s="300">
        <v>3</v>
      </c>
      <c r="D65" s="490">
        <v>0.9</v>
      </c>
      <c r="E65" s="476">
        <f>$D$61*D65</f>
        <v>34311.599999999999</v>
      </c>
      <c r="F65" s="473">
        <f>'AMI &amp; Rent'!E24</f>
        <v>857</v>
      </c>
      <c r="G65" s="491">
        <f>IF($C$49="No Utilities",0,IF($C$49="Electricity &amp; Gas Allowance",H48+J48,INDEX($G$45:$J$49,MATCH(B65,$G$45:$G$49,0),MATCH($C$49,$G$45:$J$45,0))))*-1</f>
        <v>0</v>
      </c>
      <c r="H65" s="492">
        <f>F65+G65</f>
        <v>857</v>
      </c>
      <c r="I65" s="493"/>
      <c r="J65" s="494">
        <f>H65*I65*12</f>
        <v>0</v>
      </c>
      <c r="K65" s="51"/>
      <c r="L65"/>
      <c r="M65"/>
      <c r="N65"/>
    </row>
    <row r="66" spans="2:14">
      <c r="B66" s="593" t="s">
        <v>204</v>
      </c>
      <c r="C66" s="300">
        <v>4.5</v>
      </c>
      <c r="D66" s="490">
        <v>1.04</v>
      </c>
      <c r="E66" s="476">
        <f>$D$61*D66</f>
        <v>39648.959999999999</v>
      </c>
      <c r="F66" s="473">
        <f>'AMI &amp; Rent'!E25</f>
        <v>991</v>
      </c>
      <c r="G66" s="491">
        <f>IF($C$49="No Utilities",0,IF($C$49="Electricity &amp; Gas Allowance",H49+J49,INDEX($G$45:$J$49,MATCH(B66,$G$45:$G$49,0),MATCH($C$49,$G$45:$J$45,0))))*-1</f>
        <v>0</v>
      </c>
      <c r="H66" s="492">
        <f>F66+G66</f>
        <v>991</v>
      </c>
      <c r="I66" s="493"/>
      <c r="J66" s="494">
        <f>H66*I66*12</f>
        <v>0</v>
      </c>
      <c r="K66" s="51"/>
      <c r="L66"/>
      <c r="M66"/>
      <c r="N66"/>
    </row>
    <row r="67" spans="2:14">
      <c r="B67" s="587"/>
      <c r="C67" s="277"/>
      <c r="D67" s="277"/>
      <c r="E67" s="277"/>
      <c r="F67" s="51"/>
      <c r="G67" s="495"/>
      <c r="H67" s="495"/>
      <c r="I67" s="277">
        <f>SUM(I63:I66)</f>
        <v>0</v>
      </c>
      <c r="J67" s="494">
        <f>SUM(J63:J66)</f>
        <v>0</v>
      </c>
      <c r="K67" s="277"/>
      <c r="L67"/>
      <c r="M67"/>
      <c r="N67"/>
    </row>
    <row r="68" spans="2:14">
      <c r="B68" s="587"/>
      <c r="C68" s="482"/>
      <c r="D68" s="482"/>
      <c r="E68" s="482"/>
      <c r="F68" s="410"/>
      <c r="G68" s="496"/>
      <c r="H68" s="496"/>
      <c r="I68" s="482"/>
      <c r="J68" s="483"/>
      <c r="K68" s="277"/>
      <c r="L68"/>
      <c r="M68"/>
      <c r="N68"/>
    </row>
    <row r="69" spans="2:14">
      <c r="B69" s="279">
        <v>0.37</v>
      </c>
      <c r="C69" s="161" t="s">
        <v>208</v>
      </c>
      <c r="D69" s="484">
        <f>$C$46*B69</f>
        <v>52244</v>
      </c>
      <c r="E69" s="277"/>
      <c r="F69" s="51"/>
      <c r="G69" s="495"/>
      <c r="H69" s="495"/>
      <c r="I69" s="277"/>
      <c r="J69" s="478"/>
      <c r="K69" s="277"/>
      <c r="L69"/>
      <c r="M69"/>
      <c r="N69"/>
    </row>
    <row r="70" spans="2:14" ht="34">
      <c r="B70" s="592" t="s">
        <v>210</v>
      </c>
      <c r="C70" s="300" t="s">
        <v>211</v>
      </c>
      <c r="D70" s="485" t="s">
        <v>212</v>
      </c>
      <c r="E70" s="51" t="s">
        <v>213</v>
      </c>
      <c r="F70" s="486" t="s">
        <v>214</v>
      </c>
      <c r="G70" s="488" t="s">
        <v>219</v>
      </c>
      <c r="H70" s="488" t="s">
        <v>216</v>
      </c>
      <c r="I70" s="319" t="s">
        <v>217</v>
      </c>
      <c r="J70" s="489" t="s">
        <v>218</v>
      </c>
      <c r="K70" s="51"/>
      <c r="L70"/>
      <c r="M70"/>
      <c r="N70"/>
    </row>
    <row r="71" spans="2:14">
      <c r="B71" s="593" t="s">
        <v>195</v>
      </c>
      <c r="C71" s="300">
        <v>1</v>
      </c>
      <c r="D71" s="490">
        <v>0.6</v>
      </c>
      <c r="E71" s="476">
        <f>$D$69*D71</f>
        <v>31346.399999999998</v>
      </c>
      <c r="F71" s="473">
        <f>'AMI &amp; Rent'!E34</f>
        <v>784</v>
      </c>
      <c r="G71" s="491">
        <f>G63</f>
        <v>0</v>
      </c>
      <c r="H71" s="492">
        <f>F71+G71-1</f>
        <v>783</v>
      </c>
      <c r="I71" s="493"/>
      <c r="J71" s="494">
        <f>H71*I71*12</f>
        <v>0</v>
      </c>
      <c r="K71" s="51"/>
      <c r="L71"/>
      <c r="M71"/>
      <c r="N71"/>
    </row>
    <row r="72" spans="2:14">
      <c r="B72" s="593" t="s">
        <v>199</v>
      </c>
      <c r="C72" s="300">
        <v>1.5</v>
      </c>
      <c r="D72" s="490">
        <v>0.75</v>
      </c>
      <c r="E72" s="476">
        <f>$D$69*D72</f>
        <v>39183</v>
      </c>
      <c r="F72" s="473">
        <f>'AMI &amp; Rent'!E35</f>
        <v>980</v>
      </c>
      <c r="G72" s="491">
        <f>G64</f>
        <v>0</v>
      </c>
      <c r="H72" s="492">
        <f>F72+G72</f>
        <v>980</v>
      </c>
      <c r="I72" s="493"/>
      <c r="J72" s="494">
        <f>H72*I72*12</f>
        <v>0</v>
      </c>
      <c r="K72" s="51"/>
      <c r="L72"/>
      <c r="M72"/>
      <c r="N72"/>
    </row>
    <row r="73" spans="2:14">
      <c r="B73" s="593" t="s">
        <v>201</v>
      </c>
      <c r="C73" s="300">
        <v>3</v>
      </c>
      <c r="D73" s="490">
        <v>0.9</v>
      </c>
      <c r="E73" s="476">
        <f>$D$69*D73</f>
        <v>47019.6</v>
      </c>
      <c r="F73" s="473">
        <f>'AMI &amp; Rent'!E36</f>
        <v>1175</v>
      </c>
      <c r="G73" s="491">
        <f>G65</f>
        <v>0</v>
      </c>
      <c r="H73" s="492">
        <f>F73+G73</f>
        <v>1175</v>
      </c>
      <c r="I73" s="493"/>
      <c r="J73" s="494">
        <f>H73*I73*12</f>
        <v>0</v>
      </c>
      <c r="K73" s="51"/>
      <c r="L73"/>
      <c r="M73"/>
      <c r="N73"/>
    </row>
    <row r="74" spans="2:14">
      <c r="B74" s="593" t="s">
        <v>204</v>
      </c>
      <c r="C74" s="300">
        <v>4.5</v>
      </c>
      <c r="D74" s="490">
        <v>1.04</v>
      </c>
      <c r="E74" s="476">
        <f>$D$69*D74</f>
        <v>54333.760000000002</v>
      </c>
      <c r="F74" s="473">
        <f>'AMI &amp; Rent'!E37</f>
        <v>1358</v>
      </c>
      <c r="G74" s="491">
        <f>G66</f>
        <v>0</v>
      </c>
      <c r="H74" s="492">
        <f>F74+G74</f>
        <v>1358</v>
      </c>
      <c r="I74" s="493"/>
      <c r="J74" s="494">
        <f>H74*I74*12</f>
        <v>0</v>
      </c>
      <c r="K74" s="51"/>
      <c r="L74"/>
      <c r="M74"/>
      <c r="N74"/>
    </row>
    <row r="75" spans="2:14">
      <c r="B75" s="587"/>
      <c r="C75" s="277"/>
      <c r="D75" s="277"/>
      <c r="E75" s="277"/>
      <c r="F75" s="51"/>
      <c r="G75" s="495"/>
      <c r="H75" s="495"/>
      <c r="I75" s="277">
        <f>SUM(I71:I74)</f>
        <v>0</v>
      </c>
      <c r="J75" s="494">
        <f>SUM(J71:J74)</f>
        <v>0</v>
      </c>
      <c r="K75" s="277"/>
      <c r="L75"/>
      <c r="M75"/>
      <c r="N75"/>
    </row>
    <row r="76" spans="2:14">
      <c r="B76" s="587"/>
      <c r="C76" s="482"/>
      <c r="D76" s="482"/>
      <c r="E76" s="482"/>
      <c r="F76" s="410"/>
      <c r="G76" s="496"/>
      <c r="H76" s="496"/>
      <c r="I76" s="482"/>
      <c r="J76" s="483"/>
      <c r="K76" s="277"/>
      <c r="L76"/>
      <c r="M76"/>
      <c r="N76"/>
    </row>
    <row r="77" spans="2:14">
      <c r="B77" s="279">
        <v>0.47</v>
      </c>
      <c r="C77" s="161" t="s">
        <v>208</v>
      </c>
      <c r="D77" s="484">
        <f>$C$46*B77</f>
        <v>66364</v>
      </c>
      <c r="E77" s="277"/>
      <c r="F77" s="51"/>
      <c r="G77" s="495"/>
      <c r="H77" s="495"/>
      <c r="I77" s="277"/>
      <c r="J77" s="478"/>
      <c r="K77" s="277"/>
      <c r="L77"/>
      <c r="M77"/>
      <c r="N77"/>
    </row>
    <row r="78" spans="2:14" ht="34">
      <c r="B78" s="592" t="s">
        <v>210</v>
      </c>
      <c r="C78" s="300" t="s">
        <v>211</v>
      </c>
      <c r="D78" s="485" t="s">
        <v>212</v>
      </c>
      <c r="E78" s="51" t="s">
        <v>213</v>
      </c>
      <c r="F78" s="486" t="s">
        <v>214</v>
      </c>
      <c r="G78" s="487" t="s">
        <v>219</v>
      </c>
      <c r="H78" s="488" t="s">
        <v>216</v>
      </c>
      <c r="I78" s="319" t="s">
        <v>217</v>
      </c>
      <c r="J78" s="489" t="s">
        <v>218</v>
      </c>
      <c r="K78" s="51"/>
      <c r="L78"/>
      <c r="M78"/>
      <c r="N78"/>
    </row>
    <row r="79" spans="2:14">
      <c r="B79" s="593" t="s">
        <v>195</v>
      </c>
      <c r="C79" s="300">
        <v>1</v>
      </c>
      <c r="D79" s="490">
        <v>0.6</v>
      </c>
      <c r="E79" s="476">
        <f>$D$77*D79</f>
        <v>39818.400000000001</v>
      </c>
      <c r="F79" s="473">
        <f>'AMI &amp; Rent'!E47</f>
        <v>996</v>
      </c>
      <c r="G79" s="491">
        <f>G63</f>
        <v>0</v>
      </c>
      <c r="H79" s="492">
        <f>F79+G79</f>
        <v>996</v>
      </c>
      <c r="I79" s="493"/>
      <c r="J79" s="494">
        <f>H79*I79*12</f>
        <v>0</v>
      </c>
      <c r="K79" s="51"/>
      <c r="L79"/>
      <c r="M79"/>
      <c r="N79"/>
    </row>
    <row r="80" spans="2:14">
      <c r="B80" s="593" t="s">
        <v>199</v>
      </c>
      <c r="C80" s="300">
        <v>1.5</v>
      </c>
      <c r="D80" s="490">
        <v>0.75</v>
      </c>
      <c r="E80" s="476">
        <f>$D$77*D80</f>
        <v>49773</v>
      </c>
      <c r="F80" s="473">
        <f>'AMI &amp; Rent'!E48</f>
        <v>1244</v>
      </c>
      <c r="G80" s="491">
        <f>G64</f>
        <v>0</v>
      </c>
      <c r="H80" s="492">
        <f>F80+G80</f>
        <v>1244</v>
      </c>
      <c r="I80" s="493"/>
      <c r="J80" s="494">
        <f>H80*I80*12</f>
        <v>0</v>
      </c>
      <c r="K80" s="51"/>
      <c r="L80"/>
      <c r="M80"/>
      <c r="N80"/>
    </row>
    <row r="81" spans="2:14">
      <c r="B81" s="593" t="s">
        <v>201</v>
      </c>
      <c r="C81" s="300">
        <v>3</v>
      </c>
      <c r="D81" s="490">
        <v>0.9</v>
      </c>
      <c r="E81" s="476">
        <f>$D$77*D81</f>
        <v>59727.6</v>
      </c>
      <c r="F81" s="473">
        <f>'AMI &amp; Rent'!E49</f>
        <v>1493</v>
      </c>
      <c r="G81" s="491">
        <f>G65</f>
        <v>0</v>
      </c>
      <c r="H81" s="492">
        <f>F81+G81</f>
        <v>1493</v>
      </c>
      <c r="I81" s="493"/>
      <c r="J81" s="494">
        <f>H81*I81*12</f>
        <v>0</v>
      </c>
      <c r="K81" s="51"/>
      <c r="L81"/>
      <c r="M81"/>
      <c r="N81"/>
    </row>
    <row r="82" spans="2:14">
      <c r="B82" s="593" t="s">
        <v>204</v>
      </c>
      <c r="C82" s="300">
        <v>4.5</v>
      </c>
      <c r="D82" s="490">
        <v>1.04</v>
      </c>
      <c r="E82" s="476">
        <f>$D$77*D82</f>
        <v>69018.559999999998</v>
      </c>
      <c r="F82" s="473">
        <f>'AMI &amp; Rent'!E50</f>
        <v>1725</v>
      </c>
      <c r="G82" s="491">
        <f>G66</f>
        <v>0</v>
      </c>
      <c r="H82" s="492">
        <f>F82+G82</f>
        <v>1725</v>
      </c>
      <c r="I82" s="493"/>
      <c r="J82" s="494">
        <f>H82*I82*12</f>
        <v>0</v>
      </c>
      <c r="K82" s="51"/>
      <c r="L82"/>
      <c r="M82"/>
      <c r="N82"/>
    </row>
    <row r="83" spans="2:14">
      <c r="B83" s="587"/>
      <c r="C83" s="277"/>
      <c r="D83" s="277"/>
      <c r="E83" s="277"/>
      <c r="F83" s="51"/>
      <c r="G83" s="495"/>
      <c r="H83" s="495"/>
      <c r="I83" s="277">
        <f>SUM(I79:I82)</f>
        <v>0</v>
      </c>
      <c r="J83" s="494">
        <f>SUM(J79:J82)</f>
        <v>0</v>
      </c>
      <c r="K83" s="277"/>
      <c r="L83"/>
      <c r="M83"/>
      <c r="N83"/>
    </row>
    <row r="84" spans="2:14">
      <c r="B84" s="587"/>
      <c r="C84" s="482"/>
      <c r="D84" s="482"/>
      <c r="E84" s="482"/>
      <c r="F84" s="410"/>
      <c r="G84" s="496"/>
      <c r="H84" s="496"/>
      <c r="I84" s="482"/>
      <c r="J84" s="483"/>
      <c r="K84" s="277"/>
      <c r="L84"/>
      <c r="M84"/>
      <c r="N84"/>
    </row>
    <row r="85" spans="2:14">
      <c r="B85" s="279">
        <v>0.56999999999999995</v>
      </c>
      <c r="C85" s="161" t="s">
        <v>208</v>
      </c>
      <c r="D85" s="484">
        <f>$C$46*B85</f>
        <v>80484</v>
      </c>
      <c r="E85" s="277"/>
      <c r="F85" s="51"/>
      <c r="G85" s="495"/>
      <c r="H85" s="495"/>
      <c r="I85" s="277"/>
      <c r="J85" s="478"/>
      <c r="K85" s="277"/>
      <c r="L85"/>
      <c r="M85"/>
      <c r="N85"/>
    </row>
    <row r="86" spans="2:14" ht="34">
      <c r="B86" s="592" t="s">
        <v>210</v>
      </c>
      <c r="C86" s="300" t="s">
        <v>211</v>
      </c>
      <c r="D86" s="485" t="s">
        <v>212</v>
      </c>
      <c r="E86" s="51" t="s">
        <v>213</v>
      </c>
      <c r="F86" s="486" t="s">
        <v>214</v>
      </c>
      <c r="G86" s="487" t="s">
        <v>219</v>
      </c>
      <c r="H86" s="488" t="s">
        <v>216</v>
      </c>
      <c r="I86" s="319" t="s">
        <v>217</v>
      </c>
      <c r="J86" s="489" t="s">
        <v>218</v>
      </c>
      <c r="K86" s="51"/>
      <c r="L86"/>
      <c r="M86"/>
      <c r="N86"/>
    </row>
    <row r="87" spans="2:14">
      <c r="B87" s="593" t="s">
        <v>195</v>
      </c>
      <c r="C87" s="300">
        <v>1</v>
      </c>
      <c r="D87" s="490">
        <v>0.6</v>
      </c>
      <c r="E87" s="476">
        <f>$D$85*D87</f>
        <v>48290.400000000001</v>
      </c>
      <c r="F87" s="473">
        <f>'AMI &amp; Rent'!E60</f>
        <v>1208</v>
      </c>
      <c r="G87" s="491">
        <f>G63</f>
        <v>0</v>
      </c>
      <c r="H87" s="492">
        <f>F87+G87</f>
        <v>1208</v>
      </c>
      <c r="I87" s="493"/>
      <c r="J87" s="494">
        <f>H87*I87*12</f>
        <v>0</v>
      </c>
      <c r="K87" s="51"/>
      <c r="L87"/>
      <c r="M87"/>
      <c r="N87"/>
    </row>
    <row r="88" spans="2:14">
      <c r="B88" s="593" t="s">
        <v>199</v>
      </c>
      <c r="C88" s="300">
        <v>1.5</v>
      </c>
      <c r="D88" s="490">
        <v>0.75</v>
      </c>
      <c r="E88" s="476">
        <f>$D$85*D88</f>
        <v>60363</v>
      </c>
      <c r="F88" s="473">
        <f>'AMI &amp; Rent'!E61</f>
        <v>1509</v>
      </c>
      <c r="G88" s="491">
        <f>G64</f>
        <v>0</v>
      </c>
      <c r="H88" s="492">
        <f>F88+G88</f>
        <v>1509</v>
      </c>
      <c r="I88" s="493"/>
      <c r="J88" s="494">
        <f>H88*I88*12</f>
        <v>0</v>
      </c>
      <c r="K88" s="51"/>
      <c r="L88"/>
      <c r="M88"/>
      <c r="N88"/>
    </row>
    <row r="89" spans="2:14">
      <c r="B89" s="593" t="s">
        <v>201</v>
      </c>
      <c r="C89" s="300">
        <v>3</v>
      </c>
      <c r="D89" s="490">
        <v>0.9</v>
      </c>
      <c r="E89" s="476">
        <f>$D$85*D89</f>
        <v>72435.600000000006</v>
      </c>
      <c r="F89" s="473">
        <f>'AMI &amp; Rent'!E62</f>
        <v>1811</v>
      </c>
      <c r="G89" s="491">
        <f>G65</f>
        <v>0</v>
      </c>
      <c r="H89" s="492">
        <f>F89+G89</f>
        <v>1811</v>
      </c>
      <c r="I89" s="493"/>
      <c r="J89" s="494">
        <f>H89*I89*12</f>
        <v>0</v>
      </c>
      <c r="K89" s="51"/>
      <c r="L89"/>
      <c r="M89"/>
      <c r="N89"/>
    </row>
    <row r="90" spans="2:14">
      <c r="B90" s="593" t="s">
        <v>204</v>
      </c>
      <c r="C90" s="300">
        <v>4.5</v>
      </c>
      <c r="D90" s="490">
        <v>1.04</v>
      </c>
      <c r="E90" s="476">
        <f>$D$85*D90</f>
        <v>83703.360000000001</v>
      </c>
      <c r="F90" s="473">
        <f>'AMI &amp; Rent'!E63</f>
        <v>2092</v>
      </c>
      <c r="G90" s="491">
        <f>G66</f>
        <v>0</v>
      </c>
      <c r="H90" s="492">
        <f>F90+G90</f>
        <v>2092</v>
      </c>
      <c r="I90" s="493"/>
      <c r="J90" s="494">
        <f>H90*I90*12</f>
        <v>0</v>
      </c>
      <c r="K90" s="51"/>
      <c r="L90"/>
      <c r="M90"/>
      <c r="N90"/>
    </row>
    <row r="91" spans="2:14">
      <c r="B91" s="587"/>
      <c r="C91" s="277"/>
      <c r="D91" s="277"/>
      <c r="E91" s="277"/>
      <c r="F91" s="51"/>
      <c r="G91" s="495"/>
      <c r="H91" s="495"/>
      <c r="I91" s="277">
        <f>SUM(I87:I90)</f>
        <v>0</v>
      </c>
      <c r="J91" s="494">
        <f>SUM(J87:J90)</f>
        <v>0</v>
      </c>
      <c r="K91" s="277"/>
      <c r="L91"/>
      <c r="M91"/>
      <c r="N91"/>
    </row>
    <row r="92" spans="2:14">
      <c r="B92" s="587"/>
      <c r="C92" s="482"/>
      <c r="D92" s="482"/>
      <c r="E92" s="482"/>
      <c r="F92" s="410"/>
      <c r="G92" s="496"/>
      <c r="H92" s="496"/>
      <c r="I92" s="482"/>
      <c r="J92" s="483"/>
      <c r="K92" s="277"/>
      <c r="L92"/>
      <c r="M92"/>
      <c r="N92"/>
    </row>
    <row r="93" spans="2:14">
      <c r="B93" s="279">
        <v>0.8</v>
      </c>
      <c r="C93" s="161" t="s">
        <v>208</v>
      </c>
      <c r="D93" s="484">
        <f>$C$46*B93</f>
        <v>112960</v>
      </c>
      <c r="E93" s="277"/>
      <c r="F93" s="51"/>
      <c r="G93" s="495"/>
      <c r="H93" s="495"/>
      <c r="I93" s="277"/>
      <c r="J93" s="478"/>
      <c r="K93" s="277"/>
      <c r="L93"/>
      <c r="M93"/>
      <c r="N93"/>
    </row>
    <row r="94" spans="2:14" ht="34">
      <c r="B94" s="592" t="s">
        <v>210</v>
      </c>
      <c r="C94" s="300" t="s">
        <v>211</v>
      </c>
      <c r="D94" s="485" t="s">
        <v>212</v>
      </c>
      <c r="E94" s="51" t="s">
        <v>213</v>
      </c>
      <c r="F94" s="486" t="s">
        <v>214</v>
      </c>
      <c r="G94" s="487" t="s">
        <v>219</v>
      </c>
      <c r="H94" s="488" t="s">
        <v>216</v>
      </c>
      <c r="I94" s="319" t="s">
        <v>217</v>
      </c>
      <c r="J94" s="489" t="s">
        <v>218</v>
      </c>
      <c r="K94" s="51"/>
      <c r="L94"/>
      <c r="M94"/>
      <c r="N94"/>
    </row>
    <row r="95" spans="2:14">
      <c r="B95" s="593" t="s">
        <v>195</v>
      </c>
      <c r="C95" s="300">
        <v>1</v>
      </c>
      <c r="D95" s="490">
        <v>0.6</v>
      </c>
      <c r="E95" s="476">
        <f>$D$93*D95</f>
        <v>67776</v>
      </c>
      <c r="F95" s="473">
        <f>'AMI &amp; Rent'!E73</f>
        <v>1696</v>
      </c>
      <c r="G95" s="491">
        <f>G63</f>
        <v>0</v>
      </c>
      <c r="H95" s="492">
        <f>F95+G95</f>
        <v>1696</v>
      </c>
      <c r="I95" s="493"/>
      <c r="J95" s="494">
        <f>H95*I95*12</f>
        <v>0</v>
      </c>
      <c r="K95" s="51"/>
      <c r="L95"/>
      <c r="M95"/>
      <c r="N95"/>
    </row>
    <row r="96" spans="2:14">
      <c r="B96" s="593" t="s">
        <v>199</v>
      </c>
      <c r="C96" s="300">
        <v>1.5</v>
      </c>
      <c r="D96" s="490">
        <v>0.75</v>
      </c>
      <c r="E96" s="476">
        <f>$D$93*D96</f>
        <v>84720</v>
      </c>
      <c r="F96" s="473">
        <f>'AMI &amp; Rent'!E74</f>
        <v>2119</v>
      </c>
      <c r="G96" s="491">
        <f>G64</f>
        <v>0</v>
      </c>
      <c r="H96" s="492">
        <f>F96+G96</f>
        <v>2119</v>
      </c>
      <c r="I96" s="493"/>
      <c r="J96" s="494">
        <f>H96*I96*12</f>
        <v>0</v>
      </c>
      <c r="K96" s="51"/>
      <c r="L96"/>
      <c r="M96"/>
      <c r="N96"/>
    </row>
    <row r="97" spans="2:14">
      <c r="B97" s="593" t="s">
        <v>201</v>
      </c>
      <c r="C97" s="300">
        <v>3</v>
      </c>
      <c r="D97" s="490">
        <v>0.9</v>
      </c>
      <c r="E97" s="476">
        <f>$D$93*D97</f>
        <v>101664</v>
      </c>
      <c r="F97" s="473">
        <f>'AMI &amp; Rent'!E75</f>
        <v>2542</v>
      </c>
      <c r="G97" s="491">
        <f>G65</f>
        <v>0</v>
      </c>
      <c r="H97" s="492">
        <f>F97+G97</f>
        <v>2542</v>
      </c>
      <c r="I97" s="493"/>
      <c r="J97" s="494">
        <f>H97*I97*12</f>
        <v>0</v>
      </c>
      <c r="K97" s="51"/>
      <c r="L97"/>
      <c r="M97"/>
      <c r="N97"/>
    </row>
    <row r="98" spans="2:14">
      <c r="B98" s="593" t="s">
        <v>204</v>
      </c>
      <c r="C98" s="300">
        <v>4.5</v>
      </c>
      <c r="D98" s="490">
        <v>1.04</v>
      </c>
      <c r="E98" s="476">
        <f>$D$93*D98</f>
        <v>117478.40000000001</v>
      </c>
      <c r="F98" s="473">
        <f>'AMI &amp; Rent'!E76</f>
        <v>2937</v>
      </c>
      <c r="G98" s="491">
        <f>G66</f>
        <v>0</v>
      </c>
      <c r="H98" s="492">
        <f>F98+G98</f>
        <v>2937</v>
      </c>
      <c r="I98" s="493"/>
      <c r="J98" s="494">
        <f>H98*I98*12</f>
        <v>0</v>
      </c>
      <c r="K98" s="51"/>
      <c r="L98"/>
      <c r="M98"/>
      <c r="N98"/>
    </row>
    <row r="99" spans="2:14">
      <c r="B99" s="587"/>
      <c r="C99" s="277"/>
      <c r="D99" s="277"/>
      <c r="E99" s="277"/>
      <c r="F99" s="51"/>
      <c r="G99" s="495"/>
      <c r="H99" s="495"/>
      <c r="I99" s="277">
        <f>SUM(I95:I98)</f>
        <v>0</v>
      </c>
      <c r="J99" s="494">
        <f>SUM(J95:J98)</f>
        <v>0</v>
      </c>
      <c r="K99" s="277"/>
      <c r="L99"/>
      <c r="M99"/>
      <c r="N99"/>
    </row>
    <row r="100" spans="2:14">
      <c r="B100" s="587"/>
      <c r="C100" s="482"/>
      <c r="D100" s="482"/>
      <c r="E100" s="482"/>
      <c r="F100" s="410"/>
      <c r="G100" s="496"/>
      <c r="H100" s="496"/>
      <c r="I100" s="482"/>
      <c r="J100" s="483"/>
      <c r="K100" s="277"/>
      <c r="L100"/>
      <c r="M100"/>
      <c r="N100"/>
    </row>
    <row r="101" spans="2:14">
      <c r="B101" s="279">
        <v>1</v>
      </c>
      <c r="C101" s="161" t="s">
        <v>208</v>
      </c>
      <c r="D101" s="484">
        <f>$C$46*B101</f>
        <v>141200</v>
      </c>
      <c r="E101" s="277"/>
      <c r="F101" s="51"/>
      <c r="G101" s="495"/>
      <c r="H101" s="495"/>
      <c r="I101" s="277"/>
      <c r="J101" s="478"/>
      <c r="K101" s="277"/>
      <c r="L101"/>
      <c r="M101"/>
      <c r="N101"/>
    </row>
    <row r="102" spans="2:14" ht="34">
      <c r="B102" s="592" t="s">
        <v>210</v>
      </c>
      <c r="C102" s="300" t="s">
        <v>211</v>
      </c>
      <c r="D102" s="485" t="s">
        <v>212</v>
      </c>
      <c r="E102" s="51" t="s">
        <v>213</v>
      </c>
      <c r="F102" s="486" t="s">
        <v>214</v>
      </c>
      <c r="G102" s="487" t="s">
        <v>219</v>
      </c>
      <c r="H102" s="488" t="s">
        <v>216</v>
      </c>
      <c r="I102" s="319" t="s">
        <v>217</v>
      </c>
      <c r="J102" s="489" t="s">
        <v>218</v>
      </c>
      <c r="K102" s="51"/>
      <c r="L102"/>
      <c r="M102"/>
      <c r="N102"/>
    </row>
    <row r="103" spans="2:14">
      <c r="B103" s="593" t="s">
        <v>195</v>
      </c>
      <c r="C103" s="300">
        <v>1</v>
      </c>
      <c r="D103" s="490">
        <v>0.6</v>
      </c>
      <c r="E103" s="476">
        <f>$D$101*D103</f>
        <v>84720</v>
      </c>
      <c r="F103" s="473">
        <f>'AMI &amp; Rent'!E85</f>
        <v>2120</v>
      </c>
      <c r="G103" s="491">
        <f>G63</f>
        <v>0</v>
      </c>
      <c r="H103" s="492">
        <f>F103+G103</f>
        <v>2120</v>
      </c>
      <c r="I103" s="493"/>
      <c r="J103" s="494">
        <f>H103*I103*12</f>
        <v>0</v>
      </c>
      <c r="K103" s="51"/>
      <c r="L103"/>
      <c r="M103"/>
      <c r="N103"/>
    </row>
    <row r="104" spans="2:14">
      <c r="B104" s="593" t="s">
        <v>199</v>
      </c>
      <c r="C104" s="300">
        <v>1.5</v>
      </c>
      <c r="D104" s="490">
        <v>0.75</v>
      </c>
      <c r="E104" s="476">
        <f>$D$101*D104</f>
        <v>105900</v>
      </c>
      <c r="F104" s="473">
        <f>'AMI &amp; Rent'!E86</f>
        <v>2648</v>
      </c>
      <c r="G104" s="491">
        <f>G64</f>
        <v>0</v>
      </c>
      <c r="H104" s="492">
        <f>F104+G104</f>
        <v>2648</v>
      </c>
      <c r="I104" s="493"/>
      <c r="J104" s="494">
        <f>H104*I104*12</f>
        <v>0</v>
      </c>
      <c r="K104" s="51"/>
      <c r="L104"/>
      <c r="M104"/>
      <c r="N104"/>
    </row>
    <row r="105" spans="2:14">
      <c r="B105" s="593" t="s">
        <v>201</v>
      </c>
      <c r="C105" s="300">
        <v>3</v>
      </c>
      <c r="D105" s="490">
        <v>0.9</v>
      </c>
      <c r="E105" s="476">
        <f>$D$101*D105</f>
        <v>127080</v>
      </c>
      <c r="F105" s="473">
        <f>'AMI &amp; Rent'!E87</f>
        <v>3177</v>
      </c>
      <c r="G105" s="491">
        <f>G65</f>
        <v>0</v>
      </c>
      <c r="H105" s="492">
        <f>F105+G105</f>
        <v>3177</v>
      </c>
      <c r="I105" s="493"/>
      <c r="J105" s="494">
        <f>H105*I105*12</f>
        <v>0</v>
      </c>
      <c r="K105" s="51"/>
      <c r="L105"/>
      <c r="M105"/>
      <c r="N105"/>
    </row>
    <row r="106" spans="2:14">
      <c r="B106" s="593" t="s">
        <v>204</v>
      </c>
      <c r="C106" s="300">
        <v>4.5</v>
      </c>
      <c r="D106" s="490">
        <v>1.04</v>
      </c>
      <c r="E106" s="476">
        <f>$D$101*D106</f>
        <v>146848</v>
      </c>
      <c r="F106" s="473">
        <f>'AMI &amp; Rent'!E88</f>
        <v>3671</v>
      </c>
      <c r="G106" s="491">
        <f>G66</f>
        <v>0</v>
      </c>
      <c r="H106" s="492">
        <f>F106+G106</f>
        <v>3671</v>
      </c>
      <c r="I106" s="493"/>
      <c r="J106" s="494">
        <f>H106*I106*12</f>
        <v>0</v>
      </c>
      <c r="K106" s="51"/>
      <c r="L106"/>
      <c r="M106"/>
      <c r="N106"/>
    </row>
    <row r="107" spans="2:14">
      <c r="B107" s="587"/>
      <c r="C107" s="277"/>
      <c r="D107" s="277"/>
      <c r="E107" s="277"/>
      <c r="F107" s="51"/>
      <c r="G107" s="495"/>
      <c r="H107" s="495"/>
      <c r="I107" s="277">
        <f>SUM(I103:I106)</f>
        <v>0</v>
      </c>
      <c r="J107" s="494">
        <f>SUM(J103:J106)</f>
        <v>0</v>
      </c>
      <c r="K107" s="277"/>
      <c r="L107"/>
      <c r="M107"/>
      <c r="N107"/>
    </row>
    <row r="108" spans="2:14">
      <c r="B108" s="280" t="s">
        <v>220</v>
      </c>
      <c r="C108"/>
      <c r="D108"/>
      <c r="E108" s="277"/>
      <c r="F108" s="51"/>
      <c r="G108" s="277"/>
      <c r="H108" s="277"/>
      <c r="I108" s="277"/>
      <c r="J108" s="478"/>
      <c r="K108" s="51"/>
      <c r="L108"/>
      <c r="M108"/>
      <c r="N108"/>
    </row>
    <row r="109" spans="2:14" ht="17">
      <c r="B109" s="592" t="s">
        <v>210</v>
      </c>
      <c r="C109" s="300"/>
      <c r="D109" s="485"/>
      <c r="E109" s="51"/>
      <c r="F109" s="486"/>
      <c r="G109" s="319"/>
      <c r="H109" s="319" t="s">
        <v>174</v>
      </c>
      <c r="I109" s="319" t="s">
        <v>217</v>
      </c>
      <c r="J109" s="489" t="s">
        <v>218</v>
      </c>
      <c r="K109" s="51"/>
      <c r="L109"/>
      <c r="M109"/>
      <c r="N109"/>
    </row>
    <row r="110" spans="2:14">
      <c r="B110" s="593" t="s">
        <v>195</v>
      </c>
      <c r="C110" s="497"/>
      <c r="D110" s="498"/>
      <c r="E110" s="499"/>
      <c r="F110" s="500"/>
      <c r="G110" s="500"/>
      <c r="H110" s="501"/>
      <c r="I110" s="493"/>
      <c r="J110" s="494">
        <f>I110*12*H110</f>
        <v>0</v>
      </c>
      <c r="K110" s="51"/>
      <c r="L110"/>
      <c r="M110"/>
      <c r="N110"/>
    </row>
    <row r="111" spans="2:14">
      <c r="B111" s="593" t="s">
        <v>199</v>
      </c>
      <c r="C111" s="497"/>
      <c r="D111" s="498"/>
      <c r="E111" s="499"/>
      <c r="F111" s="500"/>
      <c r="G111" s="500"/>
      <c r="H111" s="501"/>
      <c r="I111" s="493"/>
      <c r="J111" s="494">
        <f>I111*12*H111</f>
        <v>0</v>
      </c>
      <c r="K111" s="51"/>
      <c r="L111"/>
      <c r="M111"/>
      <c r="N111"/>
    </row>
    <row r="112" spans="2:14">
      <c r="B112" s="593" t="s">
        <v>201</v>
      </c>
      <c r="C112" s="497"/>
      <c r="D112" s="498"/>
      <c r="E112" s="499"/>
      <c r="F112" s="500"/>
      <c r="G112" s="500"/>
      <c r="H112" s="501"/>
      <c r="I112" s="493"/>
      <c r="J112" s="494">
        <f>I112*12*H112</f>
        <v>0</v>
      </c>
      <c r="K112" s="51"/>
      <c r="L112"/>
      <c r="M112"/>
      <c r="N112"/>
    </row>
    <row r="113" spans="2:21">
      <c r="B113" s="593" t="s">
        <v>204</v>
      </c>
      <c r="C113" s="497"/>
      <c r="D113" s="498"/>
      <c r="E113" s="499"/>
      <c r="F113" s="500"/>
      <c r="G113" s="500"/>
      <c r="H113" s="501"/>
      <c r="I113" s="493"/>
      <c r="J113" s="494">
        <f>I113*12*H113</f>
        <v>0</v>
      </c>
      <c r="K113" s="51"/>
      <c r="L113"/>
      <c r="M113"/>
      <c r="N113"/>
      <c r="O113" s="51"/>
      <c r="P113" s="51"/>
      <c r="Q113" s="51"/>
      <c r="R113" s="51"/>
      <c r="S113" s="51"/>
      <c r="T113" s="51"/>
      <c r="U113" s="51"/>
    </row>
    <row r="114" spans="2:21">
      <c r="B114" s="593"/>
      <c r="C114" s="300"/>
      <c r="D114" s="490"/>
      <c r="E114" s="476"/>
      <c r="F114" s="473"/>
      <c r="G114" s="473"/>
      <c r="H114"/>
      <c r="I114" s="127"/>
      <c r="J114" s="494">
        <f>SUM(J110:J113)</f>
        <v>0</v>
      </c>
      <c r="K114" s="51"/>
      <c r="L114"/>
      <c r="M114"/>
      <c r="N114"/>
      <c r="O114" s="51"/>
      <c r="P114" s="51"/>
      <c r="Q114" s="51"/>
      <c r="R114" s="51"/>
      <c r="S114" s="51"/>
      <c r="T114" s="51"/>
      <c r="U114" s="51"/>
    </row>
    <row r="115" spans="2:21">
      <c r="B115" s="594"/>
      <c r="C115"/>
      <c r="D115"/>
      <c r="E115" s="277"/>
      <c r="F115" s="51"/>
      <c r="G115" s="277"/>
      <c r="H115" s="278" t="s">
        <v>221</v>
      </c>
      <c r="I115" s="277">
        <f>SUM(I59,I67,I75,I83,I91,I99,I107)</f>
        <v>0</v>
      </c>
      <c r="J115" s="478"/>
      <c r="K115" s="277"/>
      <c r="L115"/>
      <c r="M115"/>
      <c r="N115"/>
      <c r="O115" s="51"/>
      <c r="P115" s="51"/>
      <c r="Q115" s="51"/>
      <c r="R115" s="51"/>
      <c r="S115" s="51"/>
      <c r="T115" s="51"/>
      <c r="U115" s="51"/>
    </row>
    <row r="116" spans="2:21">
      <c r="B116" s="587"/>
      <c r="C116" s="277"/>
      <c r="D116" s="277"/>
      <c r="E116" s="277"/>
      <c r="F116" s="51"/>
      <c r="G116" s="277"/>
      <c r="H116" s="278"/>
      <c r="I116" s="277"/>
      <c r="J116" s="478"/>
      <c r="K116" s="277"/>
      <c r="L116"/>
      <c r="M116"/>
      <c r="N116"/>
      <c r="O116" s="51"/>
      <c r="P116" s="51"/>
      <c r="Q116" s="51"/>
      <c r="R116" s="51"/>
      <c r="S116" s="51"/>
      <c r="T116" s="51"/>
      <c r="U116" s="51"/>
    </row>
    <row r="117" spans="2:21">
      <c r="B117" s="587"/>
      <c r="C117" s="51"/>
      <c r="D117" s="51"/>
      <c r="E117" s="51"/>
      <c r="F117" s="51"/>
      <c r="G117" s="51"/>
      <c r="H117" s="51"/>
      <c r="I117" s="64" t="s">
        <v>222</v>
      </c>
      <c r="J117" s="502">
        <f>SUM(J59,J67,J75,J83,J91,J99,J107,J114)</f>
        <v>0</v>
      </c>
      <c r="K117" s="51"/>
      <c r="L117"/>
      <c r="M117"/>
      <c r="N117"/>
      <c r="O117" s="51"/>
      <c r="P117" s="51"/>
      <c r="Q117" s="51"/>
      <c r="R117" s="51"/>
      <c r="S117" s="51"/>
      <c r="T117" s="51"/>
      <c r="U117" s="51"/>
    </row>
    <row r="118" spans="2:21">
      <c r="B118" s="587"/>
      <c r="C118" s="51"/>
      <c r="D118" s="51"/>
      <c r="E118" s="51"/>
      <c r="F118" s="51"/>
      <c r="G118" s="51"/>
      <c r="H118" s="51"/>
      <c r="I118" s="51"/>
      <c r="J118" s="426"/>
      <c r="K118" s="51"/>
      <c r="L118"/>
      <c r="M118"/>
      <c r="N118"/>
      <c r="O118" s="51"/>
      <c r="P118" s="51"/>
      <c r="Q118" s="2"/>
      <c r="R118" s="2"/>
      <c r="S118" s="503"/>
      <c r="T118" s="5"/>
      <c r="U118" s="378"/>
    </row>
    <row r="119" spans="2:21">
      <c r="B119" s="439"/>
      <c r="C119" s="430"/>
      <c r="D119" s="430"/>
      <c r="E119" s="430"/>
      <c r="F119" s="430"/>
      <c r="G119" s="345"/>
      <c r="H119" s="430"/>
      <c r="I119" s="162" t="s">
        <v>223</v>
      </c>
      <c r="J119" s="164">
        <f>J117+E41</f>
        <v>0</v>
      </c>
      <c r="K119" s="51"/>
      <c r="L119" s="51"/>
      <c r="M119" s="51"/>
      <c r="N119" s="51"/>
      <c r="O119" s="51"/>
      <c r="P119" s="51"/>
      <c r="Q119" s="51"/>
      <c r="R119" s="51"/>
      <c r="S119" s="51"/>
      <c r="T119" s="51"/>
      <c r="U119" s="51"/>
    </row>
  </sheetData>
  <customSheetViews>
    <customSheetView guid="{25C4E7E7-1006-4A2D-BC83-AEE4ADF8A914}" scale="75" colorId="22" showPageBreaks="1" fitToPage="1" printArea="1" showRuler="0" topLeftCell="A28">
      <selection activeCell="F39" sqref="F39"/>
      <pageMargins left="0" right="0" top="0" bottom="0" header="0" footer="0"/>
      <pageSetup scale="68" orientation="portrait" r:id="rId1"/>
      <headerFooter alignWithMargins="0"/>
    </customSheetView>
    <customSheetView guid="{28F81D13-D146-4D67-8981-BA5D7A496326}" scale="87" colorId="22" showPageBreaks="1" fitToPage="1" printArea="1" showRuler="0" topLeftCell="A37">
      <selection activeCell="C33" sqref="C33"/>
      <pageMargins left="0" right="0" top="0" bottom="0" header="0" footer="0"/>
      <pageSetup scale="77" orientation="portrait" r:id="rId2"/>
      <headerFooter alignWithMargins="0"/>
    </customSheetView>
    <customSheetView guid="{AEA5979F-5357-4ED6-A6CA-1BB80F5C7A74}" scale="87" colorId="22" showPageBreaks="1" fitToPage="1" printArea="1" showRuler="0" topLeftCell="A10">
      <selection activeCell="B28" sqref="B28"/>
      <pageMargins left="0" right="0" top="0" bottom="0" header="0" footer="0"/>
      <pageSetup scale="77" orientation="portrait" r:id="rId3"/>
      <headerFooter alignWithMargins="0"/>
    </customSheetView>
    <customSheetView guid="{EB776EFC-3589-4DB5-BEAF-1E83D9703F9E}" scale="87" colorId="22" fitToPage="1" showRuler="0" topLeftCell="A38">
      <selection activeCell="A59" sqref="A59"/>
      <pageMargins left="0" right="0" top="0" bottom="0" header="0" footer="0"/>
      <pageSetup scale="80" orientation="portrait" r:id="rId4"/>
      <headerFooter alignWithMargins="0"/>
    </customSheetView>
    <customSheetView guid="{FBB4BF8E-8A9F-4E98-A6F9-5F9BF4C55C67}" scale="87" colorId="22" showPageBreaks="1" fitToPage="1" printArea="1" showRuler="0" topLeftCell="A14">
      <selection activeCell="C29" sqref="C29"/>
      <pageMargins left="0" right="0" top="0" bottom="0" header="0" footer="0"/>
      <pageSetup scale="80" orientation="portrait" r:id="rId5"/>
      <headerFooter alignWithMargins="0"/>
    </customSheetView>
    <customSheetView guid="{6EF643BE-69F3-424E-8A44-3890161370D4}" scale="87" colorId="22" showPageBreaks="1" fitToPage="1" printArea="1" showRuler="0" topLeftCell="A40">
      <selection activeCell="D42" sqref="D42"/>
      <pageMargins left="0" right="0" top="0" bottom="0" header="0" footer="0"/>
      <pageSetup scale="77" orientation="portrait" r:id="rId6"/>
      <headerFooter alignWithMargins="0"/>
    </customSheetView>
    <customSheetView guid="{1ECE83C7-A3CE-4F97-BFD3-498FF783C0D9}" scale="75" colorId="22" showPageBreaks="1" fitToPage="1" printArea="1" showRuler="0">
      <selection activeCell="H29" sqref="H29"/>
      <pageMargins left="0" right="0" top="0" bottom="0" header="0" footer="0"/>
      <pageSetup scale="75" orientation="portrait" r:id="rId7"/>
      <headerFooter alignWithMargins="0"/>
    </customSheetView>
    <customSheetView guid="{560D4AFA-61E5-46C3-B0CD-D0EB3053A033}" scale="75" colorId="22" showPageBreaks="1" fitToPage="1" printArea="1" showRuler="0" topLeftCell="A4">
      <selection activeCell="B5" sqref="B5"/>
      <pageMargins left="0" right="0" top="0" bottom="0" header="0" footer="0"/>
      <pageSetup scale="66" orientation="portrait" r:id="rId8"/>
      <headerFooter alignWithMargins="0"/>
    </customSheetView>
  </customSheetViews>
  <mergeCells count="3">
    <mergeCell ref="V45:W45"/>
    <mergeCell ref="B49:B50"/>
    <mergeCell ref="C49:D50"/>
  </mergeCells>
  <phoneticPr fontId="0" type="noConversion"/>
  <dataValidations disablePrompts="1" count="1">
    <dataValidation type="list" allowBlank="1" showInputMessage="1" showErrorMessage="1" sqref="C49" xr:uid="{00000000-0002-0000-0400-000000000000}">
      <formula1>$AC$46:$AC$50</formula1>
    </dataValidation>
  </dataValidations>
  <pageMargins left="0.75" right="0.5" top="0.75" bottom="0.5" header="0.5" footer="0.5"/>
  <pageSetup scale="35" firstPageNumber="209" orientation="portrait" useFirstPageNumber="1"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pageSetUpPr fitToPage="1"/>
  </sheetPr>
  <dimension ref="A1:P43"/>
  <sheetViews>
    <sheetView defaultGridColor="0" topLeftCell="A6" colorId="22" zoomScale="80" zoomScaleNormal="80" zoomScaleSheetLayoutView="100" workbookViewId="0">
      <selection activeCell="J14" sqref="J14"/>
    </sheetView>
  </sheetViews>
  <sheetFormatPr baseColWidth="10" defaultColWidth="9.7109375" defaultRowHeight="16"/>
  <cols>
    <col min="1" max="1" width="26.7109375" customWidth="1"/>
    <col min="2" max="2" width="11.7109375" customWidth="1"/>
    <col min="3" max="3" width="14.28515625" customWidth="1"/>
    <col min="4" max="4" width="9.5703125" customWidth="1"/>
    <col min="5" max="5" width="14.5703125" customWidth="1"/>
    <col min="6" max="6" width="18.7109375" customWidth="1"/>
    <col min="8" max="8" width="38.140625" customWidth="1"/>
    <col min="9" max="10" width="14.7109375" customWidth="1"/>
    <col min="11" max="11" width="9.28515625" customWidth="1"/>
    <col min="12" max="12" width="13.28515625" customWidth="1"/>
    <col min="13" max="13" width="11.28515625" customWidth="1"/>
    <col min="14" max="14" width="10.7109375" customWidth="1"/>
    <col min="15" max="15" width="12.85546875" bestFit="1" customWidth="1"/>
  </cols>
  <sheetData>
    <row r="1" spans="1:16">
      <c r="A1" s="1" t="str">
        <f>'Cons Int &amp; Neg Arb'!A1</f>
        <v xml:space="preserve">Project Name: </v>
      </c>
      <c r="B1" s="2"/>
      <c r="D1" s="19"/>
      <c r="E1" s="19"/>
      <c r="F1" s="2"/>
      <c r="G1" s="2"/>
      <c r="H1" s="2"/>
      <c r="I1" s="2"/>
    </row>
    <row r="2" spans="1:16">
      <c r="A2" s="1" t="str">
        <f>'Cons Int &amp; Neg Arb'!A2</f>
        <v>Site:</v>
      </c>
      <c r="B2" s="2"/>
      <c r="D2" s="19" t="str">
        <f>'Sources and Use'!C2</f>
        <v>Units:</v>
      </c>
      <c r="E2" s="43">
        <f>'Units &amp; Income'!C23</f>
        <v>0</v>
      </c>
      <c r="F2" s="2"/>
      <c r="G2" s="2"/>
      <c r="H2" s="2"/>
      <c r="I2" s="2"/>
    </row>
    <row r="3" spans="1:16">
      <c r="A3" s="1"/>
      <c r="B3" s="2"/>
      <c r="F3" s="2"/>
      <c r="G3" s="2"/>
      <c r="H3" s="2"/>
      <c r="I3" s="2"/>
    </row>
    <row r="4" spans="1:16">
      <c r="A4" s="1"/>
      <c r="B4" s="2"/>
      <c r="F4" s="2"/>
      <c r="G4" s="2"/>
      <c r="H4" s="2"/>
      <c r="I4" s="2"/>
    </row>
    <row r="5" spans="1:16">
      <c r="A5" s="18" t="s">
        <v>224</v>
      </c>
      <c r="B5" s="2"/>
      <c r="C5" s="2"/>
      <c r="D5" s="206">
        <f>'Units &amp; Income'!C23</f>
        <v>0</v>
      </c>
      <c r="E5" s="128" t="s">
        <v>225</v>
      </c>
      <c r="F5" s="2"/>
      <c r="G5" s="2"/>
      <c r="H5" s="2"/>
      <c r="I5" s="2"/>
    </row>
    <row r="6" spans="1:16">
      <c r="B6" s="111"/>
      <c r="C6" s="111"/>
      <c r="D6" s="206">
        <f>'Units &amp; Income'!E23</f>
        <v>0</v>
      </c>
      <c r="E6" s="128" t="s">
        <v>226</v>
      </c>
      <c r="F6" s="2"/>
      <c r="G6" s="2"/>
      <c r="H6" s="2"/>
      <c r="I6" s="2"/>
    </row>
    <row r="7" spans="1:16" ht="17" thickBot="1">
      <c r="A7" s="98"/>
      <c r="B7" s="98"/>
      <c r="C7" s="98"/>
      <c r="D7" s="98"/>
      <c r="E7" s="98"/>
    </row>
    <row r="8" spans="1:16" s="214" customFormat="1" ht="18" customHeight="1" thickTop="1">
      <c r="A8" s="209" t="s">
        <v>227</v>
      </c>
      <c r="B8" s="210"/>
      <c r="C8" s="211"/>
      <c r="D8" s="282" t="s">
        <v>228</v>
      </c>
      <c r="E8" s="212"/>
      <c r="F8" s="213"/>
      <c r="H8" s="671" t="s">
        <v>229</v>
      </c>
      <c r="I8" s="672"/>
      <c r="J8" s="673"/>
    </row>
    <row r="9" spans="1:16" s="214" customFormat="1" ht="18" customHeight="1">
      <c r="A9" s="595" t="s">
        <v>230</v>
      </c>
      <c r="B9" s="213"/>
      <c r="C9" s="215">
        <f>D9*$D$6</f>
        <v>0</v>
      </c>
      <c r="D9" s="283"/>
      <c r="E9" s="504" t="s">
        <v>231</v>
      </c>
      <c r="F9" s="216"/>
      <c r="H9" s="595" t="s">
        <v>230</v>
      </c>
      <c r="I9" s="292">
        <v>140</v>
      </c>
      <c r="J9" s="505" t="s">
        <v>231</v>
      </c>
      <c r="L9" s="665" t="s">
        <v>232</v>
      </c>
      <c r="M9" s="667"/>
      <c r="N9" s="666"/>
      <c r="O9" s="665" t="s">
        <v>233</v>
      </c>
      <c r="P9" s="666"/>
    </row>
    <row r="10" spans="1:16" s="214" customFormat="1" ht="18" customHeight="1">
      <c r="A10" s="595" t="s">
        <v>234</v>
      </c>
      <c r="B10" s="213"/>
      <c r="C10" s="215">
        <f>D10*D6</f>
        <v>0</v>
      </c>
      <c r="D10" s="284"/>
      <c r="E10" s="504" t="s">
        <v>231</v>
      </c>
      <c r="F10" s="216"/>
      <c r="H10" s="595" t="s">
        <v>234</v>
      </c>
      <c r="I10" s="292"/>
      <c r="J10" s="505" t="s">
        <v>231</v>
      </c>
      <c r="L10" s="332"/>
      <c r="M10" s="327" t="s">
        <v>235</v>
      </c>
      <c r="N10" s="328">
        <v>195</v>
      </c>
      <c r="O10" s="330" t="s">
        <v>235</v>
      </c>
      <c r="P10" s="328">
        <v>105</v>
      </c>
    </row>
    <row r="11" spans="1:16" s="214" customFormat="1" ht="18" customHeight="1">
      <c r="A11" s="595" t="s">
        <v>236</v>
      </c>
      <c r="B11" s="213"/>
      <c r="C11" s="215">
        <f>D11*D7</f>
        <v>0</v>
      </c>
      <c r="D11" s="284"/>
      <c r="E11" s="504" t="s">
        <v>231</v>
      </c>
      <c r="F11" s="216"/>
      <c r="H11" s="595" t="s">
        <v>236</v>
      </c>
      <c r="I11" s="292"/>
      <c r="J11" s="505" t="s">
        <v>231</v>
      </c>
      <c r="L11" s="332"/>
      <c r="M11" s="334" t="s">
        <v>237</v>
      </c>
      <c r="N11" s="328">
        <v>156</v>
      </c>
      <c r="O11" s="335" t="s">
        <v>238</v>
      </c>
      <c r="P11" s="329">
        <v>175</v>
      </c>
    </row>
    <row r="12" spans="1:16" s="214" customFormat="1" ht="18" customHeight="1">
      <c r="A12" s="595" t="s">
        <v>239</v>
      </c>
      <c r="B12" s="213"/>
      <c r="C12" s="215">
        <f>D12*$D$6</f>
        <v>0</v>
      </c>
      <c r="D12" s="284"/>
      <c r="E12" s="504" t="s">
        <v>231</v>
      </c>
      <c r="F12" s="216"/>
      <c r="H12" s="595" t="s">
        <v>239</v>
      </c>
      <c r="I12" s="292">
        <v>185</v>
      </c>
      <c r="J12" s="505" t="s">
        <v>231</v>
      </c>
      <c r="L12" s="332"/>
      <c r="M12" s="327" t="s">
        <v>240</v>
      </c>
      <c r="N12" s="328">
        <v>187</v>
      </c>
    </row>
    <row r="13" spans="1:16" s="214" customFormat="1" ht="18" customHeight="1">
      <c r="A13" s="595" t="s">
        <v>241</v>
      </c>
      <c r="B13" s="213"/>
      <c r="C13" s="215">
        <f>D13*D5</f>
        <v>0</v>
      </c>
      <c r="D13" s="285"/>
      <c r="E13" s="504" t="s">
        <v>242</v>
      </c>
      <c r="F13" s="216"/>
      <c r="H13" s="595"/>
      <c r="I13" s="292"/>
      <c r="J13" s="505"/>
      <c r="L13" s="333"/>
      <c r="M13" s="331" t="s">
        <v>243</v>
      </c>
      <c r="N13" s="329">
        <v>73</v>
      </c>
    </row>
    <row r="14" spans="1:16" s="214" customFormat="1" ht="18" customHeight="1">
      <c r="A14" s="595" t="s">
        <v>244</v>
      </c>
      <c r="B14" s="213"/>
      <c r="C14" s="215">
        <f>D14*$D$5</f>
        <v>0</v>
      </c>
      <c r="D14" s="285"/>
      <c r="E14" s="504" t="s">
        <v>245</v>
      </c>
      <c r="F14" s="216"/>
      <c r="H14" s="595" t="s">
        <v>246</v>
      </c>
      <c r="I14" s="337" t="s">
        <v>247</v>
      </c>
      <c r="J14" s="505" t="s">
        <v>248</v>
      </c>
    </row>
    <row r="15" spans="1:16" s="214" customFormat="1" ht="18" customHeight="1">
      <c r="A15" s="595" t="s">
        <v>249</v>
      </c>
      <c r="B15" s="213"/>
      <c r="C15" s="215">
        <f>D15*$D$5</f>
        <v>0</v>
      </c>
      <c r="D15" s="285"/>
      <c r="E15" s="504" t="s">
        <v>245</v>
      </c>
      <c r="F15" s="216"/>
      <c r="H15" s="595" t="s">
        <v>249</v>
      </c>
      <c r="I15" s="292">
        <v>240</v>
      </c>
      <c r="J15" s="505" t="s">
        <v>245</v>
      </c>
    </row>
    <row r="16" spans="1:16" s="214" customFormat="1" ht="18" customHeight="1">
      <c r="A16" s="595" t="s">
        <v>250</v>
      </c>
      <c r="B16" s="213"/>
      <c r="C16" s="215">
        <f>D16</f>
        <v>0</v>
      </c>
      <c r="D16" s="284"/>
      <c r="E16" s="504" t="s">
        <v>251</v>
      </c>
      <c r="F16" s="216"/>
      <c r="G16" s="217"/>
      <c r="H16" s="595" t="s">
        <v>250</v>
      </c>
      <c r="I16" s="292">
        <v>17500</v>
      </c>
      <c r="J16" s="505" t="s">
        <v>251</v>
      </c>
    </row>
    <row r="17" spans="1:15" s="214" customFormat="1" ht="18" customHeight="1">
      <c r="A17" s="595" t="s">
        <v>252</v>
      </c>
      <c r="B17" s="213"/>
      <c r="C17" s="215">
        <f>D17*$D$6</f>
        <v>0</v>
      </c>
      <c r="D17" s="285"/>
      <c r="E17" s="504" t="s">
        <v>231</v>
      </c>
      <c r="F17" s="216"/>
      <c r="H17" s="595"/>
      <c r="I17" s="292"/>
      <c r="J17" s="505"/>
    </row>
    <row r="18" spans="1:15" s="214" customFormat="1" ht="18" customHeight="1">
      <c r="A18" s="596" t="s">
        <v>253</v>
      </c>
      <c r="B18" s="218"/>
      <c r="C18" s="219">
        <f>C20+C21</f>
        <v>0</v>
      </c>
      <c r="D18" s="286" t="e">
        <f>C18/E2</f>
        <v>#DIV/0!</v>
      </c>
      <c r="E18" s="504" t="s">
        <v>245</v>
      </c>
      <c r="F18" s="216"/>
      <c r="H18" s="220" t="s">
        <v>254</v>
      </c>
      <c r="I18" s="293"/>
      <c r="J18" s="294"/>
      <c r="L18" s="222"/>
      <c r="M18" s="223" t="s">
        <v>255</v>
      </c>
      <c r="N18" s="223" t="s">
        <v>256</v>
      </c>
      <c r="O18" s="224"/>
    </row>
    <row r="19" spans="1:15" s="214" customFormat="1" ht="18" customHeight="1">
      <c r="A19" s="595" t="s">
        <v>257</v>
      </c>
      <c r="B19" s="221"/>
      <c r="E19" s="504"/>
      <c r="F19" s="216"/>
      <c r="H19" s="597"/>
      <c r="I19" s="674"/>
      <c r="J19" s="675"/>
      <c r="K19" s="668"/>
      <c r="L19" s="226" t="s">
        <v>258</v>
      </c>
      <c r="M19" s="227">
        <v>75119</v>
      </c>
      <c r="N19" s="227">
        <v>123641</v>
      </c>
      <c r="O19" s="228" t="s">
        <v>259</v>
      </c>
    </row>
    <row r="20" spans="1:15" s="214" customFormat="1" ht="18" customHeight="1">
      <c r="A20" s="598" t="s">
        <v>260</v>
      </c>
      <c r="B20" s="225"/>
      <c r="C20" s="217">
        <f>D20*B20</f>
        <v>0</v>
      </c>
      <c r="D20" s="284"/>
      <c r="E20" s="504" t="s">
        <v>259</v>
      </c>
      <c r="F20" s="216"/>
      <c r="H20" s="599"/>
      <c r="I20" s="674" t="s">
        <v>261</v>
      </c>
      <c r="J20" s="675"/>
      <c r="K20" s="668"/>
      <c r="L20" s="229" t="s">
        <v>262</v>
      </c>
      <c r="M20" s="230">
        <v>70335</v>
      </c>
      <c r="N20" s="230">
        <v>101359</v>
      </c>
      <c r="O20" s="231" t="s">
        <v>259</v>
      </c>
    </row>
    <row r="21" spans="1:15" s="214" customFormat="1" ht="18" customHeight="1">
      <c r="A21" s="598" t="s">
        <v>263</v>
      </c>
      <c r="B21" s="225"/>
      <c r="C21" s="217">
        <f>D21*B21</f>
        <v>0</v>
      </c>
      <c r="D21" s="284"/>
      <c r="E21" s="504" t="s">
        <v>259</v>
      </c>
      <c r="F21" s="216"/>
      <c r="H21" s="599"/>
      <c r="I21" s="674" t="s">
        <v>264</v>
      </c>
      <c r="J21" s="675"/>
      <c r="L21" s="234"/>
    </row>
    <row r="22" spans="1:15" s="214" customFormat="1" ht="18" customHeight="1">
      <c r="A22" s="598"/>
      <c r="B22" s="232"/>
      <c r="E22" s="504"/>
      <c r="F22" s="216"/>
      <c r="H22" s="233"/>
      <c r="I22" s="669" t="s">
        <v>265</v>
      </c>
      <c r="J22" s="670"/>
      <c r="L22" s="236"/>
      <c r="M22" s="236"/>
      <c r="N22" s="236"/>
    </row>
    <row r="23" spans="1:15" s="214" customFormat="1" ht="18" customHeight="1">
      <c r="A23" s="596" t="s">
        <v>266</v>
      </c>
      <c r="B23" s="225"/>
      <c r="C23" s="215">
        <f>D23*B23</f>
        <v>0</v>
      </c>
      <c r="D23" s="285"/>
      <c r="E23" s="504" t="s">
        <v>267</v>
      </c>
      <c r="F23" s="216"/>
      <c r="G23" s="213"/>
      <c r="H23" s="596" t="s">
        <v>266</v>
      </c>
      <c r="I23" s="292">
        <v>7500</v>
      </c>
      <c r="J23" s="505" t="s">
        <v>267</v>
      </c>
    </row>
    <row r="24" spans="1:15" s="214" customFormat="1" ht="18" customHeight="1">
      <c r="A24" s="595" t="s">
        <v>268</v>
      </c>
      <c r="B24" s="213"/>
      <c r="C24" s="235">
        <f>D24*Mort!D11</f>
        <v>0</v>
      </c>
      <c r="D24" s="287"/>
      <c r="E24" s="504" t="s">
        <v>269</v>
      </c>
      <c r="F24" s="216"/>
      <c r="G24" s="213"/>
      <c r="H24" s="595" t="s">
        <v>268</v>
      </c>
      <c r="I24" s="325">
        <v>6.5000000000000002E-2</v>
      </c>
      <c r="J24" s="505" t="s">
        <v>269</v>
      </c>
    </row>
    <row r="25" spans="1:15" s="214" customFormat="1" ht="18" customHeight="1">
      <c r="A25" s="596" t="s">
        <v>270</v>
      </c>
      <c r="B25" s="237"/>
      <c r="C25" s="215">
        <f>D25*$D$6</f>
        <v>0</v>
      </c>
      <c r="D25" s="285"/>
      <c r="E25" s="504" t="s">
        <v>231</v>
      </c>
      <c r="F25" s="216"/>
      <c r="G25" s="213"/>
      <c r="H25" s="596" t="s">
        <v>270</v>
      </c>
      <c r="I25" s="292">
        <v>285</v>
      </c>
      <c r="J25" s="505" t="s">
        <v>231</v>
      </c>
    </row>
    <row r="26" spans="1:15" s="214" customFormat="1" ht="18" customHeight="1">
      <c r="A26" s="596" t="s">
        <v>271</v>
      </c>
      <c r="B26" s="237"/>
      <c r="C26" s="215">
        <f>D26*$D$5</f>
        <v>0</v>
      </c>
      <c r="D26" s="284"/>
      <c r="E26" s="504" t="s">
        <v>245</v>
      </c>
      <c r="F26" s="216"/>
      <c r="G26" s="213"/>
      <c r="H26" s="596" t="s">
        <v>271</v>
      </c>
      <c r="I26" s="292">
        <v>1350</v>
      </c>
      <c r="J26" s="505" t="s">
        <v>245</v>
      </c>
    </row>
    <row r="27" spans="1:15" s="214" customFormat="1" ht="18" customHeight="1">
      <c r="A27" s="596" t="s">
        <v>272</v>
      </c>
      <c r="B27" s="237"/>
      <c r="C27" s="238">
        <v>0</v>
      </c>
      <c r="D27" s="284"/>
      <c r="E27" s="504" t="s">
        <v>245</v>
      </c>
      <c r="F27" s="216"/>
      <c r="G27" s="213"/>
      <c r="H27" s="596" t="s">
        <v>273</v>
      </c>
      <c r="I27" s="676" t="s">
        <v>274</v>
      </c>
      <c r="J27" s="677"/>
    </row>
    <row r="28" spans="1:15" s="214" customFormat="1" ht="18" customHeight="1">
      <c r="A28" s="596" t="s">
        <v>272</v>
      </c>
      <c r="B28" s="239"/>
      <c r="C28" s="238">
        <v>0</v>
      </c>
      <c r="D28" s="284"/>
      <c r="E28" s="504" t="s">
        <v>245</v>
      </c>
      <c r="F28" s="216"/>
      <c r="G28" s="213"/>
      <c r="H28" s="596" t="s">
        <v>275</v>
      </c>
      <c r="I28" s="292">
        <v>495</v>
      </c>
      <c r="J28" s="505" t="s">
        <v>276</v>
      </c>
    </row>
    <row r="29" spans="1:15" s="214" customFormat="1" ht="18" customHeight="1">
      <c r="A29" s="595" t="s">
        <v>277</v>
      </c>
      <c r="B29" s="240"/>
      <c r="C29" s="215">
        <f>D29*$D$5</f>
        <v>0</v>
      </c>
      <c r="D29" s="241"/>
      <c r="E29" s="504" t="s">
        <v>245</v>
      </c>
      <c r="F29" s="216"/>
      <c r="G29" s="213"/>
      <c r="H29" s="595" t="s">
        <v>278</v>
      </c>
      <c r="I29" s="292">
        <v>350</v>
      </c>
      <c r="J29" s="505" t="s">
        <v>245</v>
      </c>
    </row>
    <row r="30" spans="1:15" s="214" customFormat="1" ht="18" customHeight="1">
      <c r="A30" s="595" t="s">
        <v>84</v>
      </c>
      <c r="B30" s="240"/>
      <c r="C30" s="215">
        <f>D30*$D$5</f>
        <v>0</v>
      </c>
      <c r="D30" s="241"/>
      <c r="E30" s="504" t="s">
        <v>245</v>
      </c>
      <c r="F30" s="216"/>
      <c r="G30" s="213"/>
      <c r="H30" s="242"/>
      <c r="I30" s="243"/>
      <c r="J30" s="243"/>
    </row>
    <row r="31" spans="1:15" s="214" customFormat="1" ht="18" customHeight="1">
      <c r="A31" s="595"/>
      <c r="B31" s="240"/>
      <c r="C31" s="244"/>
      <c r="E31" s="504"/>
      <c r="F31" s="213"/>
      <c r="G31" s="216"/>
      <c r="H31" s="218"/>
      <c r="I31" s="245"/>
      <c r="J31" s="213"/>
    </row>
    <row r="32" spans="1:15" s="214" customFormat="1" ht="18" customHeight="1">
      <c r="A32" s="600" t="s">
        <v>279</v>
      </c>
      <c r="B32" s="213"/>
      <c r="C32" s="246">
        <f>SUM(C9:C18,C23:C30)</f>
        <v>0</v>
      </c>
      <c r="E32" s="506" t="s">
        <v>95</v>
      </c>
      <c r="F32" s="248"/>
      <c r="G32" s="216"/>
    </row>
    <row r="33" spans="1:16" s="214" customFormat="1" ht="18" customHeight="1">
      <c r="A33" s="601"/>
      <c r="D33" s="247" t="e">
        <f>C32/D6</f>
        <v>#DIV/0!</v>
      </c>
      <c r="E33" s="506" t="s">
        <v>231</v>
      </c>
      <c r="F33" s="216"/>
      <c r="G33" s="216"/>
    </row>
    <row r="34" spans="1:16" s="214" customFormat="1" ht="18" customHeight="1">
      <c r="A34" s="602"/>
      <c r="B34" s="213"/>
      <c r="D34" s="247" t="e">
        <f>C32/D5</f>
        <v>#DIV/0!</v>
      </c>
      <c r="E34" s="506" t="s">
        <v>245</v>
      </c>
      <c r="F34" s="216"/>
      <c r="G34" s="216"/>
    </row>
    <row r="35" spans="1:16" s="214" customFormat="1" ht="18" customHeight="1">
      <c r="A35" s="602"/>
      <c r="B35" s="213"/>
      <c r="C35" s="216"/>
      <c r="D35" s="216"/>
      <c r="E35" s="504"/>
      <c r="F35" s="216"/>
      <c r="G35" s="216"/>
    </row>
    <row r="36" spans="1:16" s="214" customFormat="1" ht="18" customHeight="1">
      <c r="A36" s="595" t="s">
        <v>280</v>
      </c>
      <c r="B36" s="507"/>
      <c r="C36" s="249"/>
      <c r="E36" s="504"/>
      <c r="F36" s="216"/>
      <c r="G36" s="216"/>
    </row>
    <row r="37" spans="1:16" s="214" customFormat="1" ht="18" customHeight="1">
      <c r="A37" s="595"/>
      <c r="B37" s="213"/>
      <c r="C37" s="216"/>
      <c r="D37" s="216"/>
      <c r="E37" s="504"/>
      <c r="F37" s="216"/>
      <c r="G37" s="216"/>
    </row>
    <row r="38" spans="1:16" s="214" customFormat="1" ht="18" customHeight="1">
      <c r="A38" s="600" t="s">
        <v>281</v>
      </c>
      <c r="B38" s="213"/>
      <c r="C38" s="247">
        <f>Expenses+C36</f>
        <v>0</v>
      </c>
      <c r="D38" s="216"/>
      <c r="E38" s="504"/>
      <c r="F38" s="216"/>
      <c r="G38" s="216"/>
    </row>
    <row r="39" spans="1:16" s="214" customFormat="1" ht="18" customHeight="1">
      <c r="A39" s="603"/>
      <c r="B39" s="213"/>
      <c r="C39" s="247" t="e">
        <f>C38/D5</f>
        <v>#DIV/0!</v>
      </c>
      <c r="D39" s="247"/>
      <c r="E39" s="506" t="s">
        <v>282</v>
      </c>
      <c r="F39" s="216"/>
      <c r="G39" s="216"/>
      <c r="L39"/>
      <c r="M39"/>
      <c r="N39"/>
      <c r="O39"/>
      <c r="P39"/>
    </row>
    <row r="40" spans="1:16">
      <c r="A40" s="250"/>
      <c r="B40" s="210"/>
      <c r="C40" s="251" t="e">
        <f>C38/D6</f>
        <v>#DIV/0!</v>
      </c>
      <c r="D40" s="251"/>
      <c r="E40" s="252" t="s">
        <v>231</v>
      </c>
      <c r="F40" s="5"/>
      <c r="G40" s="5"/>
      <c r="H40" s="214"/>
      <c r="I40" s="214"/>
      <c r="J40" s="214"/>
    </row>
    <row r="41" spans="1:16">
      <c r="A41" s="2"/>
      <c r="B41" s="2"/>
      <c r="C41" s="7"/>
      <c r="D41" s="7"/>
      <c r="E41" s="1"/>
      <c r="F41" s="5"/>
      <c r="G41" s="2"/>
    </row>
    <row r="42" spans="1:16">
      <c r="A42" s="2"/>
      <c r="B42" s="2"/>
      <c r="C42" s="5"/>
      <c r="D42" s="5"/>
      <c r="E42" s="2"/>
      <c r="F42" s="2"/>
    </row>
    <row r="43" spans="1:16">
      <c r="A43" s="16"/>
      <c r="B43" s="13"/>
      <c r="C43" s="2"/>
      <c r="D43" s="5"/>
      <c r="E43" s="2"/>
    </row>
  </sheetData>
  <customSheetViews>
    <customSheetView guid="{25C4E7E7-1006-4A2D-BC83-AEE4ADF8A914}" scale="75" colorId="22" showPageBreaks="1" printArea="1" hiddenRows="1" hiddenColumns="1" showRuler="0" topLeftCell="A17">
      <selection activeCell="G26" sqref="G26"/>
      <pageMargins left="0" right="0" top="0" bottom="0" header="0" footer="0"/>
      <pageSetup scale="93" orientation="landscape" r:id="rId1"/>
      <headerFooter alignWithMargins="0"/>
    </customSheetView>
    <customSheetView guid="{28F81D13-D146-4D67-8981-BA5D7A496326}" scale="75" colorId="22" showPageBreaks="1" fitToPage="1" printArea="1" hiddenColumns="1" showRuler="0" topLeftCell="A7">
      <selection activeCell="K9" sqref="K9"/>
      <pageMargins left="0" right="0" top="0" bottom="0" header="0" footer="0"/>
      <pageSetup orientation="landscape" r:id="rId2"/>
      <headerFooter alignWithMargins="0"/>
    </customSheetView>
    <customSheetView guid="{AEA5979F-5357-4ED6-A6CA-1BB80F5C7A74}" scale="75" colorId="22" showPageBreaks="1" fitToPage="1" printArea="1" hiddenColumns="1" showRuler="0">
      <selection activeCell="J28" sqref="J28"/>
      <pageMargins left="0" right="0" top="0" bottom="0" header="0" footer="0"/>
      <pageSetup orientation="landscape" r:id="rId3"/>
      <headerFooter alignWithMargins="0"/>
    </customSheetView>
    <customSheetView guid="{EB776EFC-3589-4DB5-BEAF-1E83D9703F9E}" scale="65" colorId="22" fitToPage="1" hiddenColumns="1" showRuler="0" topLeftCell="A4">
      <selection activeCell="C19" sqref="C19"/>
      <pageMargins left="0" right="0" top="0" bottom="0" header="0" footer="0"/>
      <pageSetup orientation="landscape" r:id="rId4"/>
      <headerFooter alignWithMargins="0"/>
    </customSheetView>
    <customSheetView guid="{FBB4BF8E-8A9F-4E98-A6F9-5F9BF4C55C67}" scale="65" colorId="22" showPageBreaks="1" fitToPage="1" printArea="1" hiddenColumns="1" showRuler="0">
      <selection activeCell="J16" sqref="J16"/>
      <pageMargins left="0" right="0" top="0" bottom="0" header="0" footer="0"/>
      <pageSetup orientation="landscape" r:id="rId5"/>
      <headerFooter alignWithMargins="0"/>
    </customSheetView>
    <customSheetView guid="{6EF643BE-69F3-424E-8A44-3890161370D4}" scale="75" colorId="22" showPageBreaks="1" fitToPage="1" printArea="1" hiddenColumns="1" showRuler="0" topLeftCell="A10">
      <selection activeCell="J28" sqref="J28"/>
      <pageMargins left="0" right="0" top="0" bottom="0" header="0" footer="0"/>
      <pageSetup orientation="landscape" r:id="rId6"/>
      <headerFooter alignWithMargins="0"/>
    </customSheetView>
    <customSheetView guid="{1ECE83C7-A3CE-4F97-BFD3-498FF783C0D9}" scale="75" colorId="22" showPageBreaks="1" printArea="1" hiddenColumns="1" showRuler="0">
      <selection activeCell="H29" sqref="H29"/>
      <pageMargins left="0" right="0" top="0" bottom="0" header="0" footer="0"/>
      <pageSetup scale="93" orientation="landscape" r:id="rId7"/>
      <headerFooter alignWithMargins="0"/>
    </customSheetView>
    <customSheetView guid="{560D4AFA-61E5-46C3-B0CD-D0EB3053A033}" scale="75" colorId="22" showPageBreaks="1" printArea="1" hiddenRows="1" hiddenColumns="1" showRuler="0" topLeftCell="A2">
      <selection activeCell="H26" sqref="H26"/>
      <pageMargins left="0" right="0" top="0" bottom="0" header="0" footer="0"/>
      <pageSetup scale="93" orientation="landscape" r:id="rId8"/>
      <headerFooter alignWithMargins="0"/>
    </customSheetView>
  </customSheetViews>
  <mergeCells count="9">
    <mergeCell ref="I27:J27"/>
    <mergeCell ref="I20:J20"/>
    <mergeCell ref="I21:J21"/>
    <mergeCell ref="O9:P9"/>
    <mergeCell ref="L9:N9"/>
    <mergeCell ref="K19:K20"/>
    <mergeCell ref="I22:J22"/>
    <mergeCell ref="H8:J8"/>
    <mergeCell ref="I19:J19"/>
  </mergeCells>
  <phoneticPr fontId="0" type="noConversion"/>
  <printOptions horizontalCentered="1" verticalCentered="1"/>
  <pageMargins left="0.75" right="0.5" top="0.75" bottom="0.5" header="0.5" footer="0.5"/>
  <pageSetup firstPageNumber="210" orientation="portrait" useFirstPageNumber="1" r:id="rId9"/>
  <headerFooter alignWithMargins="0"/>
  <drawing r:id="rId1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pageSetUpPr fitToPage="1"/>
  </sheetPr>
  <dimension ref="A1:N46"/>
  <sheetViews>
    <sheetView defaultGridColor="0" colorId="22" zoomScale="85" zoomScaleNormal="85" workbookViewId="0"/>
  </sheetViews>
  <sheetFormatPr baseColWidth="10" defaultColWidth="9.7109375" defaultRowHeight="16"/>
  <cols>
    <col min="1" max="1" width="35.42578125" bestFit="1" customWidth="1"/>
    <col min="2" max="2" width="11.7109375" bestFit="1" customWidth="1"/>
    <col min="4" max="4" width="13.140625" customWidth="1"/>
    <col min="6" max="7" width="12.7109375" customWidth="1"/>
    <col min="8" max="8" width="20.85546875" customWidth="1"/>
    <col min="9" max="9" width="18.7109375" customWidth="1"/>
    <col min="10" max="10" width="19.28515625" customWidth="1"/>
    <col min="11" max="11" width="17.42578125" customWidth="1"/>
    <col min="12" max="12" width="12.7109375" customWidth="1"/>
    <col min="13" max="13" width="10.7109375" bestFit="1" customWidth="1"/>
    <col min="14" max="14" width="11" bestFit="1" customWidth="1"/>
  </cols>
  <sheetData>
    <row r="1" spans="1:14">
      <c r="A1" s="1" t="str">
        <f>'M and O'!A1</f>
        <v xml:space="preserve">Project Name: </v>
      </c>
      <c r="E1" s="2"/>
      <c r="F1" s="26"/>
      <c r="G1" s="2"/>
      <c r="H1" s="2"/>
      <c r="I1" s="2"/>
      <c r="J1" s="2"/>
      <c r="K1" s="18"/>
      <c r="L1" s="18"/>
      <c r="M1" s="2"/>
      <c r="N1" s="2"/>
    </row>
    <row r="2" spans="1:14">
      <c r="A2" s="1" t="str">
        <f>'M and O'!A2</f>
        <v>Site:</v>
      </c>
      <c r="B2" s="2"/>
      <c r="E2" s="2"/>
      <c r="F2" s="2"/>
      <c r="G2" s="2"/>
      <c r="H2" s="2"/>
      <c r="I2" s="2"/>
      <c r="J2" s="2"/>
      <c r="K2" s="18" t="str">
        <f>'Sources and Use'!C2</f>
        <v>Units:</v>
      </c>
      <c r="L2" s="18">
        <f>'Units &amp; Income'!C23</f>
        <v>0</v>
      </c>
      <c r="M2" s="2"/>
      <c r="N2" s="2"/>
    </row>
    <row r="3" spans="1:14">
      <c r="A3" s="1"/>
      <c r="B3" s="2"/>
      <c r="C3" s="2"/>
      <c r="D3" s="2"/>
      <c r="E3" s="2"/>
      <c r="F3" s="2"/>
      <c r="G3" s="2"/>
      <c r="H3" s="2"/>
      <c r="I3" s="2"/>
      <c r="J3" s="2"/>
      <c r="K3" s="2"/>
      <c r="L3" s="2"/>
      <c r="M3" s="2"/>
      <c r="N3" s="2"/>
    </row>
    <row r="4" spans="1:14">
      <c r="B4" s="2"/>
      <c r="C4" s="2"/>
      <c r="D4" s="2"/>
      <c r="E4" s="2"/>
      <c r="F4" s="42" t="s">
        <v>283</v>
      </c>
      <c r="G4" s="2"/>
      <c r="H4" s="4"/>
      <c r="I4" s="4"/>
      <c r="J4" s="4"/>
      <c r="K4" s="14"/>
      <c r="L4" s="2"/>
      <c r="M4" s="2"/>
      <c r="N4" s="2"/>
    </row>
    <row r="5" spans="1:14">
      <c r="A5" s="19" t="s">
        <v>284</v>
      </c>
      <c r="B5" s="2"/>
      <c r="C5" s="2"/>
      <c r="D5" s="2"/>
      <c r="E5" s="2"/>
      <c r="F5" s="42" t="s">
        <v>285</v>
      </c>
      <c r="G5" s="2"/>
      <c r="H5" s="2"/>
      <c r="I5" s="2"/>
      <c r="J5" s="2"/>
      <c r="K5" s="4"/>
      <c r="L5" s="14"/>
      <c r="M5" s="14"/>
      <c r="N5" s="14"/>
    </row>
    <row r="6" spans="1:14" ht="17" thickBot="1">
      <c r="A6" s="96"/>
      <c r="B6" s="97"/>
      <c r="C6" s="97"/>
      <c r="D6" s="97"/>
      <c r="E6" s="4"/>
      <c r="F6" s="97"/>
      <c r="G6" s="97"/>
      <c r="H6" s="97"/>
      <c r="I6" s="97"/>
      <c r="J6" s="97"/>
      <c r="K6" s="98"/>
      <c r="L6" s="98"/>
      <c r="M6" s="4"/>
      <c r="N6" s="4"/>
    </row>
    <row r="7" spans="1:14" ht="17" thickTop="1">
      <c r="A7" s="549"/>
      <c r="B7" s="508"/>
      <c r="C7" s="508"/>
      <c r="D7" s="509"/>
      <c r="E7" s="604"/>
      <c r="F7" s="19" t="s">
        <v>286</v>
      </c>
      <c r="G7" s="19"/>
      <c r="H7" s="423"/>
      <c r="I7" s="290" t="s">
        <v>287</v>
      </c>
      <c r="J7" s="15"/>
      <c r="L7" s="99"/>
      <c r="M7" s="2"/>
      <c r="N7" s="2"/>
    </row>
    <row r="8" spans="1:14">
      <c r="A8" s="605" t="s">
        <v>288</v>
      </c>
      <c r="B8" s="4"/>
      <c r="C8" s="4"/>
      <c r="D8" s="510"/>
      <c r="E8" s="604"/>
      <c r="F8" s="51"/>
      <c r="G8" s="511"/>
      <c r="H8" s="512"/>
      <c r="I8" s="4"/>
      <c r="K8" s="47" t="s">
        <v>289</v>
      </c>
      <c r="L8" s="513"/>
      <c r="M8" s="2"/>
      <c r="N8" s="2"/>
    </row>
    <row r="9" spans="1:14">
      <c r="A9" s="606" t="s">
        <v>290</v>
      </c>
      <c r="B9" s="514"/>
      <c r="C9" s="4"/>
      <c r="D9" s="510">
        <f>'Units &amp; Income'!J117</f>
        <v>0</v>
      </c>
      <c r="E9" s="607"/>
      <c r="F9" s="51" t="s">
        <v>291</v>
      </c>
      <c r="G9" s="511"/>
      <c r="H9" s="515"/>
      <c r="I9" s="4"/>
      <c r="J9" s="6" t="s">
        <v>292</v>
      </c>
      <c r="K9" s="131"/>
      <c r="L9" s="365"/>
      <c r="M9" s="2"/>
      <c r="N9" s="2"/>
    </row>
    <row r="10" spans="1:14">
      <c r="A10" s="608" t="s">
        <v>293</v>
      </c>
      <c r="B10" s="516"/>
      <c r="C10" s="9"/>
      <c r="D10" s="510">
        <f>B10*-D9</f>
        <v>0</v>
      </c>
      <c r="E10" s="607"/>
      <c r="F10" s="353" t="s">
        <v>294</v>
      </c>
      <c r="G10" s="397"/>
      <c r="H10" s="515"/>
      <c r="J10" s="6" t="s">
        <v>295</v>
      </c>
      <c r="K10" s="131"/>
      <c r="L10" s="365"/>
      <c r="M10" s="2"/>
    </row>
    <row r="11" spans="1:14">
      <c r="A11" s="609" t="s">
        <v>296</v>
      </c>
      <c r="B11" s="46"/>
      <c r="C11" s="46"/>
      <c r="D11" s="517">
        <f>D9+D10</f>
        <v>0</v>
      </c>
      <c r="E11" s="607"/>
      <c r="F11" s="51" t="s">
        <v>297</v>
      </c>
      <c r="G11" s="511"/>
      <c r="H11" s="515"/>
      <c r="J11" s="3" t="s">
        <v>298</v>
      </c>
      <c r="K11" s="131"/>
      <c r="L11" s="365"/>
      <c r="M11" s="2"/>
    </row>
    <row r="12" spans="1:14">
      <c r="A12" s="610"/>
      <c r="B12" s="51"/>
      <c r="C12" s="51"/>
      <c r="D12" s="426"/>
      <c r="E12" s="607"/>
      <c r="F12" s="51" t="s">
        <v>299</v>
      </c>
      <c r="G12" s="511"/>
      <c r="H12" s="515"/>
      <c r="J12" s="6" t="s">
        <v>300</v>
      </c>
      <c r="K12" s="9">
        <f>SUM(K9:K11)</f>
        <v>0</v>
      </c>
      <c r="L12" s="365"/>
      <c r="M12" s="2"/>
    </row>
    <row r="13" spans="1:14">
      <c r="A13" s="606" t="s">
        <v>301</v>
      </c>
      <c r="B13" s="9"/>
      <c r="C13" s="9"/>
      <c r="D13" s="510">
        <f>'Units &amp; Income'!E30</f>
        <v>0</v>
      </c>
      <c r="E13" s="607"/>
      <c r="F13" s="51" t="s">
        <v>302</v>
      </c>
      <c r="G13" s="511"/>
      <c r="H13" s="515"/>
      <c r="J13" s="2"/>
      <c r="K13" s="57"/>
      <c r="L13" s="355"/>
      <c r="M13" s="2"/>
    </row>
    <row r="14" spans="1:14">
      <c r="A14" s="606" t="s">
        <v>303</v>
      </c>
      <c r="B14" s="9"/>
      <c r="C14" s="9"/>
      <c r="D14" s="510">
        <f>'Units &amp; Income'!E34</f>
        <v>0</v>
      </c>
      <c r="E14" s="607"/>
      <c r="F14" s="587" t="s">
        <v>304</v>
      </c>
      <c r="G14" s="518"/>
      <c r="H14" s="515"/>
      <c r="J14" s="4"/>
      <c r="L14" s="355"/>
      <c r="M14" s="2"/>
    </row>
    <row r="15" spans="1:14">
      <c r="A15" s="606" t="s">
        <v>305</v>
      </c>
      <c r="B15" s="9"/>
      <c r="C15" s="9"/>
      <c r="D15" s="510">
        <f>'Units &amp; Income'!E36</f>
        <v>0</v>
      </c>
      <c r="E15" s="607"/>
      <c r="F15" s="611"/>
      <c r="G15" s="4"/>
      <c r="H15" s="519">
        <f>SUM(H9:H14)</f>
        <v>0</v>
      </c>
      <c r="I15" s="4"/>
      <c r="J15" s="4"/>
      <c r="K15" s="9"/>
      <c r="L15" s="355"/>
      <c r="M15" s="2"/>
      <c r="N15" s="2"/>
    </row>
    <row r="16" spans="1:14">
      <c r="A16" s="606" t="s">
        <v>306</v>
      </c>
      <c r="B16" s="9"/>
      <c r="C16" s="9"/>
      <c r="D16" s="510">
        <f>'Units &amp; Income'!E39</f>
        <v>0</v>
      </c>
      <c r="E16" s="2"/>
      <c r="F16" s="113"/>
      <c r="G16" s="71"/>
      <c r="H16" s="112"/>
      <c r="I16" s="71"/>
      <c r="J16" s="71"/>
      <c r="K16" s="71"/>
      <c r="L16" s="112"/>
      <c r="M16" s="2"/>
      <c r="N16" s="2"/>
    </row>
    <row r="17" spans="1:14" ht="17" thickBot="1">
      <c r="A17" s="612" t="s">
        <v>307</v>
      </c>
      <c r="B17" s="516"/>
      <c r="C17" s="9"/>
      <c r="D17" s="510">
        <f>-(D13*B17)</f>
        <v>0</v>
      </c>
      <c r="E17" s="2"/>
      <c r="F17" s="97"/>
      <c r="G17" s="97"/>
      <c r="H17" s="97"/>
      <c r="I17" s="97"/>
      <c r="J17" s="97"/>
      <c r="K17" s="104"/>
      <c r="L17" s="105"/>
      <c r="M17" s="2"/>
      <c r="N17" s="2"/>
    </row>
    <row r="18" spans="1:14" ht="17" thickTop="1">
      <c r="A18" s="612" t="s">
        <v>308</v>
      </c>
      <c r="B18" s="520"/>
      <c r="C18" s="521"/>
      <c r="D18" s="510">
        <f>-(D14*B18)</f>
        <v>0</v>
      </c>
      <c r="E18" s="613"/>
      <c r="F18" s="2"/>
      <c r="H18" s="3"/>
      <c r="I18" s="114"/>
      <c r="J18" s="2"/>
      <c r="K18" s="2"/>
      <c r="L18" s="355"/>
    </row>
    <row r="19" spans="1:14">
      <c r="A19" s="612" t="s">
        <v>309</v>
      </c>
      <c r="B19" s="520"/>
      <c r="D19" s="510">
        <f>-(D15*B19)</f>
        <v>0</v>
      </c>
      <c r="E19" s="613"/>
      <c r="F19" s="2"/>
      <c r="H19" s="6"/>
      <c r="I19" s="115"/>
      <c r="J19" s="9"/>
      <c r="K19" s="4"/>
      <c r="L19" s="355"/>
    </row>
    <row r="20" spans="1:14">
      <c r="A20" s="612" t="s">
        <v>310</v>
      </c>
      <c r="B20" s="520"/>
      <c r="C20" s="51"/>
      <c r="D20" s="510">
        <f>-(D16*B20)</f>
        <v>0</v>
      </c>
      <c r="E20" s="613"/>
      <c r="F20" s="2"/>
      <c r="I20" s="116"/>
      <c r="J20" s="2"/>
      <c r="K20" s="2"/>
      <c r="L20" s="355"/>
    </row>
    <row r="21" spans="1:14">
      <c r="A21" s="614" t="s">
        <v>311</v>
      </c>
      <c r="B21" s="45"/>
      <c r="C21" s="45"/>
      <c r="D21" s="517">
        <f>SUM(D13:D20)</f>
        <v>0</v>
      </c>
      <c r="E21" s="613"/>
      <c r="F21" s="2"/>
      <c r="H21" s="3" t="s">
        <v>312</v>
      </c>
      <c r="I21" s="119"/>
      <c r="J21" s="2" t="s">
        <v>313</v>
      </c>
      <c r="K21" s="2"/>
      <c r="L21" s="355"/>
    </row>
    <row r="22" spans="1:14">
      <c r="A22" s="615" t="s">
        <v>314</v>
      </c>
      <c r="B22" s="522"/>
      <c r="C22" s="522"/>
      <c r="D22" s="523">
        <f>D11+D21</f>
        <v>0</v>
      </c>
      <c r="E22" s="613"/>
      <c r="F22" s="2"/>
      <c r="H22" s="3" t="s">
        <v>315</v>
      </c>
      <c r="I22" s="189">
        <f>SECOND</f>
        <v>0</v>
      </c>
      <c r="L22" s="524"/>
    </row>
    <row r="23" spans="1:14">
      <c r="A23" s="611"/>
      <c r="B23" s="9"/>
      <c r="C23" s="9"/>
      <c r="D23" s="510"/>
      <c r="E23" s="613"/>
      <c r="F23" s="2"/>
      <c r="G23" s="51"/>
      <c r="H23" s="3" t="s">
        <v>316</v>
      </c>
      <c r="I23" s="117">
        <f>J30</f>
        <v>0</v>
      </c>
      <c r="J23" s="2"/>
      <c r="K23" s="2"/>
      <c r="L23" s="355"/>
    </row>
    <row r="24" spans="1:14">
      <c r="A24" s="605" t="s">
        <v>227</v>
      </c>
      <c r="B24" s="9"/>
      <c r="C24" s="9"/>
      <c r="D24" s="510"/>
      <c r="E24" s="613"/>
      <c r="F24" s="2"/>
      <c r="H24" s="47" t="s">
        <v>317</v>
      </c>
      <c r="I24" s="117">
        <f>K30</f>
        <v>0</v>
      </c>
      <c r="J24" s="2"/>
      <c r="K24" s="2"/>
      <c r="L24" s="355"/>
    </row>
    <row r="25" spans="1:14">
      <c r="A25" s="606" t="s">
        <v>318</v>
      </c>
      <c r="B25" s="5" t="e">
        <f>D25/'Units &amp; Income'!C23</f>
        <v>#DIV/0!</v>
      </c>
      <c r="C25" s="5" t="s">
        <v>245</v>
      </c>
      <c r="D25" s="510">
        <f>'M and O'!C32-'M and O'!C29</f>
        <v>0</v>
      </c>
      <c r="E25" s="613"/>
      <c r="F25" s="93"/>
      <c r="G25" s="94"/>
      <c r="H25" s="101" t="s">
        <v>319</v>
      </c>
      <c r="I25" s="525">
        <f>I21+I22+I23+I24</f>
        <v>0</v>
      </c>
      <c r="J25" s="94"/>
      <c r="K25" s="94"/>
      <c r="L25" s="103"/>
    </row>
    <row r="26" spans="1:14" ht="17" thickBot="1">
      <c r="A26" s="606" t="s">
        <v>320</v>
      </c>
      <c r="B26" s="5" t="e">
        <f>D26/'Units &amp; Income'!C23</f>
        <v>#DIV/0!</v>
      </c>
      <c r="C26" s="5" t="s">
        <v>245</v>
      </c>
      <c r="D26" s="510">
        <f>'M and O'!C36</f>
        <v>0</v>
      </c>
      <c r="F26" s="106"/>
      <c r="G26" s="106"/>
      <c r="H26" s="106"/>
      <c r="I26" s="106"/>
      <c r="J26" s="281"/>
      <c r="K26" s="281"/>
      <c r="L26" s="106"/>
    </row>
    <row r="27" spans="1:14" ht="17" thickTop="1">
      <c r="A27" s="606" t="s">
        <v>321</v>
      </c>
      <c r="B27" s="5" t="e">
        <f>D27/'Units &amp; Income'!C23</f>
        <v>#DIV/0!</v>
      </c>
      <c r="C27" s="4" t="s">
        <v>245</v>
      </c>
      <c r="D27" s="510">
        <f>'M and O'!C29</f>
        <v>0</v>
      </c>
      <c r="E27" s="613"/>
      <c r="F27" s="2"/>
      <c r="G27" s="124"/>
      <c r="H27" s="125" t="s">
        <v>322</v>
      </c>
      <c r="I27" s="110" t="s">
        <v>323</v>
      </c>
      <c r="J27" s="289" t="s">
        <v>324</v>
      </c>
      <c r="K27" s="289" t="s">
        <v>325</v>
      </c>
      <c r="L27" s="110"/>
      <c r="M27" s="616"/>
    </row>
    <row r="28" spans="1:14">
      <c r="A28" s="615" t="s">
        <v>326</v>
      </c>
      <c r="B28" s="7" t="e">
        <f>SUM(B25:B27)</f>
        <v>#DIV/0!</v>
      </c>
      <c r="C28" s="15" t="s">
        <v>245</v>
      </c>
      <c r="D28" s="526">
        <f>SUM(D25:D27)</f>
        <v>0</v>
      </c>
      <c r="E28" s="613"/>
      <c r="H28" s="120"/>
      <c r="I28" s="176"/>
      <c r="J28" s="120"/>
      <c r="K28" s="120"/>
      <c r="M28" s="616"/>
    </row>
    <row r="29" spans="1:14">
      <c r="A29" s="594"/>
      <c r="D29" s="524"/>
      <c r="E29" s="613"/>
      <c r="F29" s="549"/>
      <c r="G29" s="2"/>
      <c r="H29" s="110" t="s">
        <v>327</v>
      </c>
      <c r="I29" s="288" t="s">
        <v>328</v>
      </c>
      <c r="J29" s="110" t="s">
        <v>329</v>
      </c>
      <c r="K29" s="127" t="s">
        <v>330</v>
      </c>
      <c r="L29" s="110" t="s">
        <v>95</v>
      </c>
      <c r="M29" s="616"/>
    </row>
    <row r="30" spans="1:14">
      <c r="A30" s="594"/>
      <c r="D30" s="524"/>
      <c r="E30" s="613"/>
      <c r="F30" s="2"/>
      <c r="G30" s="2"/>
      <c r="H30" s="2" t="e">
        <f>-PV(H31/12,H32*12,(D36-I36-J36-K36)/12,H34)-H28</f>
        <v>#DIV/0!</v>
      </c>
      <c r="I30" s="177">
        <f>H41*('Units &amp; Income'!C23-SUM('Units &amp; Income'!I110:I113))</f>
        <v>0</v>
      </c>
      <c r="J30" s="178">
        <f>H42*('Units &amp; Income'!C23-SUM('Units &amp; Income'!I110:I113))</f>
        <v>0</v>
      </c>
      <c r="K30" s="179">
        <f>H43*('Units &amp; Income'!C23-SUM('Units &amp; Income'!I110:I113))</f>
        <v>0</v>
      </c>
      <c r="L30" s="5" t="e">
        <f>I30+H30+J30+K30</f>
        <v>#DIV/0!</v>
      </c>
      <c r="M30" s="616"/>
    </row>
    <row r="31" spans="1:14">
      <c r="A31" s="605" t="s">
        <v>331</v>
      </c>
      <c r="B31" s="15"/>
      <c r="C31" s="15"/>
      <c r="D31" s="526">
        <f>D22-D28</f>
        <v>0</v>
      </c>
      <c r="E31" s="613"/>
      <c r="G31" s="47" t="s">
        <v>143</v>
      </c>
      <c r="H31" s="126">
        <f>K12</f>
        <v>0</v>
      </c>
      <c r="I31" s="120"/>
      <c r="J31" s="120"/>
      <c r="K31" s="120"/>
      <c r="M31" s="616"/>
    </row>
    <row r="32" spans="1:14">
      <c r="A32" s="594"/>
      <c r="D32" s="524"/>
      <c r="E32" s="613"/>
      <c r="F32" s="2"/>
      <c r="G32" s="527" t="s">
        <v>110</v>
      </c>
      <c r="H32" s="118"/>
      <c r="I32" s="118"/>
      <c r="J32" s="119"/>
      <c r="K32" s="119"/>
      <c r="L32" s="5"/>
      <c r="M32" s="616"/>
    </row>
    <row r="33" spans="1:14">
      <c r="A33" s="611"/>
      <c r="B33" s="4"/>
      <c r="C33" s="4"/>
      <c r="D33" s="510"/>
      <c r="E33" s="613"/>
      <c r="F33" s="3" t="s">
        <v>332</v>
      </c>
      <c r="G33" s="3" t="s">
        <v>333</v>
      </c>
      <c r="H33" s="5" t="e">
        <f>H30-H3</f>
        <v>#DIV/0!</v>
      </c>
      <c r="I33" s="5">
        <f>SECOND-I34</f>
        <v>0</v>
      </c>
      <c r="J33" s="5">
        <f>J30-J34</f>
        <v>0</v>
      </c>
      <c r="K33" s="5">
        <f>K30-K34</f>
        <v>0</v>
      </c>
      <c r="L33" s="48"/>
      <c r="M33" s="616"/>
      <c r="N33" s="168"/>
    </row>
    <row r="34" spans="1:14">
      <c r="A34" s="611" t="s">
        <v>334</v>
      </c>
      <c r="B34" s="4"/>
      <c r="C34" s="4"/>
      <c r="D34" s="510">
        <f>(+D22/1.05)-(D28)</f>
        <v>0</v>
      </c>
      <c r="E34" s="613"/>
      <c r="F34" s="2"/>
      <c r="G34" s="3" t="s">
        <v>335</v>
      </c>
      <c r="H34" s="5">
        <v>0</v>
      </c>
      <c r="I34" s="5">
        <f>-FV(I31/12,I32*12,-(I36/12),SECOND)</f>
        <v>0</v>
      </c>
      <c r="J34" s="5">
        <f>-FV(J31/12, J32*12, -J36/12, J30)</f>
        <v>0</v>
      </c>
      <c r="K34" s="5">
        <f>-FV(K31/12, K32*12, -K36/12, K30)</f>
        <v>0</v>
      </c>
      <c r="L34" s="48"/>
      <c r="M34" s="616"/>
    </row>
    <row r="35" spans="1:14">
      <c r="A35" s="617" t="s">
        <v>336</v>
      </c>
      <c r="B35" s="71"/>
      <c r="D35" s="524"/>
      <c r="E35" s="613"/>
      <c r="G35" s="3" t="s">
        <v>337</v>
      </c>
      <c r="H35" s="49" t="e">
        <f>H34/FIRST</f>
        <v>#DIV/0!</v>
      </c>
      <c r="I35" s="49" t="e">
        <f>I34/I30</f>
        <v>#DIV/0!</v>
      </c>
      <c r="J35" s="49" t="e">
        <f>J34/J30</f>
        <v>#DIV/0!</v>
      </c>
      <c r="K35" s="49" t="e">
        <f>K34/K30</f>
        <v>#DIV/0!</v>
      </c>
      <c r="M35" s="618"/>
    </row>
    <row r="36" spans="1:14">
      <c r="A36" s="604" t="s">
        <v>338</v>
      </c>
      <c r="B36" s="108"/>
      <c r="D36" s="510" t="e">
        <f>NOI/B36</f>
        <v>#DIV/0!</v>
      </c>
      <c r="E36" s="613"/>
      <c r="F36" s="4"/>
      <c r="G36" s="3" t="s">
        <v>339</v>
      </c>
      <c r="H36" s="68" t="e">
        <f>PMT(H31/12, H32*12, -FIRST, 0)*12</f>
        <v>#DIV/0!</v>
      </c>
      <c r="I36" s="68">
        <f>SECOND*I28</f>
        <v>0</v>
      </c>
      <c r="J36" s="68">
        <f>+J30*J28</f>
        <v>0</v>
      </c>
      <c r="K36" s="68">
        <f>+K30*K28</f>
        <v>0</v>
      </c>
      <c r="L36" s="68" t="e">
        <f>SUM(H36:J36)</f>
        <v>#DIV/0!</v>
      </c>
      <c r="M36" s="619"/>
    </row>
    <row r="37" spans="1:14">
      <c r="A37" s="620" t="s">
        <v>340</v>
      </c>
      <c r="D37" s="528" t="e">
        <f>D22/(D28+D36)</f>
        <v>#DIV/0!</v>
      </c>
      <c r="E37" s="2"/>
      <c r="F37" s="100"/>
      <c r="G37" s="101" t="s">
        <v>341</v>
      </c>
      <c r="H37" s="102" t="e">
        <f>NOI/H36</f>
        <v>#DIV/0!</v>
      </c>
      <c r="I37" s="102" t="e">
        <f>NOI/(I36+H36)</f>
        <v>#DIV/0!</v>
      </c>
      <c r="J37" s="102" t="e">
        <f>NOI/(J36+I36+H36)</f>
        <v>#DIV/0!</v>
      </c>
      <c r="K37" s="102" t="e">
        <f>NOI/(K36+J36+I36)</f>
        <v>#DIV/0!</v>
      </c>
      <c r="L37" s="170" t="e">
        <f>NOI/L36</f>
        <v>#DIV/0!</v>
      </c>
      <c r="M37" s="616"/>
    </row>
    <row r="38" spans="1:14">
      <c r="A38" s="617" t="s">
        <v>342</v>
      </c>
      <c r="B38" s="71"/>
      <c r="D38" s="524"/>
      <c r="E38" s="2"/>
      <c r="L38" s="2"/>
    </row>
    <row r="39" spans="1:14">
      <c r="A39" s="604" t="s">
        <v>338</v>
      </c>
      <c r="B39" s="109"/>
      <c r="D39" s="510" t="e">
        <f>D31/B39</f>
        <v>#DIV/0!</v>
      </c>
      <c r="E39" s="2"/>
      <c r="J39" s="20"/>
      <c r="L39" s="5"/>
      <c r="M39" s="2"/>
      <c r="N39" s="2"/>
    </row>
    <row r="40" spans="1:14">
      <c r="A40" s="585" t="s">
        <v>340</v>
      </c>
      <c r="B40" s="2"/>
      <c r="C40" s="2"/>
      <c r="D40" s="528" t="e">
        <f>D22/(D28+D39)</f>
        <v>#DIV/0!</v>
      </c>
      <c r="E40" s="2"/>
      <c r="G40" s="15" t="s">
        <v>343</v>
      </c>
      <c r="H40" s="2"/>
      <c r="I40" s="48"/>
      <c r="J40" s="48"/>
      <c r="K40" s="5"/>
      <c r="L40" s="2"/>
      <c r="M40" s="2"/>
      <c r="N40" s="5"/>
    </row>
    <row r="41" spans="1:14">
      <c r="A41" s="549"/>
      <c r="B41" s="2"/>
      <c r="C41" s="2"/>
      <c r="D41" s="510"/>
      <c r="E41" s="2"/>
      <c r="F41" s="110" t="s">
        <v>328</v>
      </c>
      <c r="G41" s="2" t="s">
        <v>344</v>
      </c>
      <c r="H41" s="291"/>
      <c r="I41" s="50" t="s">
        <v>33</v>
      </c>
      <c r="J41" s="48"/>
      <c r="K41" s="5"/>
      <c r="L41" s="2"/>
      <c r="M41" s="2"/>
      <c r="N41" s="5"/>
    </row>
    <row r="42" spans="1:14">
      <c r="A42" s="93"/>
      <c r="B42" s="94"/>
      <c r="C42" s="94"/>
      <c r="D42" s="95"/>
      <c r="E42" s="2"/>
      <c r="F42" s="110" t="s">
        <v>329</v>
      </c>
      <c r="G42" s="2" t="s">
        <v>344</v>
      </c>
      <c r="H42" s="107"/>
      <c r="I42" s="50" t="s">
        <v>33</v>
      </c>
      <c r="J42" s="5"/>
      <c r="K42" s="2"/>
      <c r="L42" s="2"/>
      <c r="M42" s="2"/>
      <c r="N42" s="5"/>
    </row>
    <row r="43" spans="1:14">
      <c r="A43" s="16"/>
      <c r="B43" s="2"/>
      <c r="C43" s="13"/>
      <c r="D43" s="2"/>
      <c r="E43" s="2"/>
      <c r="F43" s="127" t="s">
        <v>330</v>
      </c>
      <c r="G43" s="2" t="s">
        <v>344</v>
      </c>
      <c r="H43" s="107"/>
      <c r="I43" s="10"/>
      <c r="J43" s="171"/>
      <c r="K43" s="171"/>
      <c r="L43" s="171"/>
      <c r="M43" s="171"/>
      <c r="N43" s="171"/>
    </row>
    <row r="44" spans="1:14">
      <c r="E44" s="16"/>
      <c r="H44" s="67"/>
      <c r="I44" s="173"/>
      <c r="J44" s="174"/>
      <c r="K44" s="174"/>
      <c r="L44" s="174"/>
      <c r="M44" s="174"/>
      <c r="N44" s="174"/>
    </row>
    <row r="45" spans="1:14">
      <c r="K45" s="20"/>
      <c r="L45" s="20"/>
      <c r="M45" s="20"/>
      <c r="N45" s="20"/>
    </row>
    <row r="46" spans="1:14">
      <c r="J46" s="172"/>
      <c r="K46" s="172"/>
      <c r="L46" s="172"/>
      <c r="M46" s="172"/>
      <c r="N46" s="172"/>
    </row>
  </sheetData>
  <customSheetViews>
    <customSheetView guid="{25C4E7E7-1006-4A2D-BC83-AEE4ADF8A914}" scale="75" colorId="22" showPageBreaks="1" fitToPage="1" printArea="1" showRuler="0" topLeftCell="B22">
      <selection activeCell="H30" sqref="H30"/>
      <pageMargins left="0" right="0" top="0" bottom="0" header="0" footer="0"/>
      <pageSetup scale="64" orientation="landscape" r:id="rId1"/>
      <headerFooter alignWithMargins="0"/>
    </customSheetView>
    <customSheetView guid="{28F81D13-D146-4D67-8981-BA5D7A496326}" scale="75" colorId="22" showPageBreaks="1" fitToPage="1" printArea="1" showRuler="0" topLeftCell="F20">
      <selection activeCell="A11" sqref="A11"/>
      <pageMargins left="0" right="0" top="0" bottom="0" header="0" footer="0"/>
      <pageSetup scale="62" orientation="landscape" r:id="rId2"/>
      <headerFooter alignWithMargins="0"/>
    </customSheetView>
    <customSheetView guid="{AEA5979F-5357-4ED6-A6CA-1BB80F5C7A74}" scale="75" colorId="22" showPageBreaks="1" fitToPage="1" printArea="1" showRuler="0" topLeftCell="C7">
      <selection activeCell="J36" sqref="J36"/>
      <pageMargins left="0" right="0" top="0" bottom="0" header="0" footer="0"/>
      <pageSetup scale="62" orientation="landscape" r:id="rId3"/>
      <headerFooter alignWithMargins="0"/>
    </customSheetView>
    <customSheetView guid="{EB776EFC-3589-4DB5-BEAF-1E83D9703F9E}" scale="75" colorId="22" fitToPage="1" showRuler="0" topLeftCell="F20">
      <selection activeCell="H39" sqref="H39"/>
      <pageMargins left="0" right="0" top="0" bottom="0" header="0" footer="0"/>
      <pageSetup scale="63" orientation="landscape" r:id="rId4"/>
      <headerFooter alignWithMargins="0"/>
    </customSheetView>
    <customSheetView guid="{FBB4BF8E-8A9F-4E98-A6F9-5F9BF4C55C67}" scale="75" colorId="22" showPageBreaks="1" fitToPage="1" printArea="1" showRuler="0" topLeftCell="F20">
      <selection activeCell="H28" sqref="H28"/>
      <pageMargins left="0" right="0" top="0" bottom="0" header="0" footer="0"/>
      <pageSetup scale="63" orientation="landscape" r:id="rId5"/>
      <headerFooter alignWithMargins="0"/>
    </customSheetView>
    <customSheetView guid="{6EF643BE-69F3-424E-8A44-3890161370D4}" scale="75" colorId="22" showPageBreaks="1" fitToPage="1" printArea="1" showRuler="0" topLeftCell="D19">
      <selection activeCell="H30" sqref="H30"/>
      <pageMargins left="0" right="0" top="0" bottom="0" header="0" footer="0"/>
      <pageSetup scale="62" orientation="landscape" r:id="rId6"/>
      <headerFooter alignWithMargins="0"/>
    </customSheetView>
    <customSheetView guid="{1ECE83C7-A3CE-4F97-BFD3-498FF783C0D9}" scale="75" colorId="22" showPageBreaks="1" fitToPage="1" printArea="1" showRuler="0" topLeftCell="A13">
      <selection activeCell="H29" sqref="H29"/>
      <pageMargins left="0" right="0" top="0" bottom="0" header="0" footer="0"/>
      <pageSetup scale="64" orientation="landscape" r:id="rId7"/>
      <headerFooter alignWithMargins="0"/>
    </customSheetView>
    <customSheetView guid="{560D4AFA-61E5-46C3-B0CD-D0EB3053A033}" scale="75" colorId="22" showPageBreaks="1" fitToPage="1" printArea="1" showRuler="0" topLeftCell="B10">
      <selection activeCell="H36" sqref="H36"/>
      <pageMargins left="0" right="0" top="0" bottom="0" header="0" footer="0"/>
      <pageSetup scale="64" orientation="landscape" r:id="rId8"/>
      <headerFooter alignWithMargins="0"/>
    </customSheetView>
  </customSheetViews>
  <phoneticPr fontId="0" type="noConversion"/>
  <pageMargins left="0.75" right="0.5" top="0.75" bottom="0.5" header="0.5" footer="0.5"/>
  <pageSetup scale="53" firstPageNumber="211" orientation="landscape" useFirstPageNumber="1" r:id="rId9"/>
  <headerFooter alignWithMargins="0"/>
  <legacy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35"/>
  <sheetViews>
    <sheetView topLeftCell="A6" zoomScale="85" zoomScaleNormal="85" zoomScaleSheetLayoutView="55" workbookViewId="0"/>
  </sheetViews>
  <sheetFormatPr baseColWidth="10" defaultColWidth="8.7109375" defaultRowHeight="16"/>
  <cols>
    <col min="1" max="1" width="36" customWidth="1"/>
    <col min="2" max="2" width="9.28515625" customWidth="1"/>
    <col min="3" max="14" width="12.7109375" style="52" customWidth="1"/>
    <col min="15" max="32" width="12.7109375" customWidth="1"/>
  </cols>
  <sheetData>
    <row r="1" spans="1:37">
      <c r="A1" s="1" t="str">
        <f>'Units &amp; Income'!B1</f>
        <v xml:space="preserve">Project Name: </v>
      </c>
      <c r="M1" s="129"/>
      <c r="N1" s="129"/>
    </row>
    <row r="2" spans="1:37">
      <c r="A2" s="1" t="str">
        <f>'Sources and Use'!A2</f>
        <v>Site:</v>
      </c>
      <c r="M2" s="129" t="str">
        <f>'Sources and Use'!C2</f>
        <v>Units:</v>
      </c>
      <c r="N2" s="129">
        <f>'Units &amp; Income'!C23</f>
        <v>0</v>
      </c>
    </row>
    <row r="3" spans="1:37">
      <c r="A3" s="1"/>
    </row>
    <row r="4" spans="1:37">
      <c r="A4" s="1"/>
    </row>
    <row r="5" spans="1:37">
      <c r="A5" s="1"/>
    </row>
    <row r="6" spans="1:37" s="47" customFormat="1">
      <c r="B6" s="47" t="s">
        <v>345</v>
      </c>
      <c r="C6" s="55" t="s">
        <v>346</v>
      </c>
      <c r="D6" s="55" t="s">
        <v>347</v>
      </c>
      <c r="E6" s="55" t="s">
        <v>348</v>
      </c>
      <c r="F6" s="55" t="s">
        <v>349</v>
      </c>
      <c r="G6" s="55" t="s">
        <v>350</v>
      </c>
      <c r="H6" s="55" t="s">
        <v>351</v>
      </c>
      <c r="I6" s="55" t="s">
        <v>352</v>
      </c>
      <c r="J6" s="55" t="s">
        <v>353</v>
      </c>
      <c r="K6" s="55" t="s">
        <v>354</v>
      </c>
      <c r="L6" s="55" t="s">
        <v>355</v>
      </c>
      <c r="M6" s="55" t="s">
        <v>356</v>
      </c>
      <c r="N6" s="55" t="s">
        <v>357</v>
      </c>
      <c r="O6" s="55" t="s">
        <v>358</v>
      </c>
      <c r="P6" s="55" t="s">
        <v>359</v>
      </c>
      <c r="Q6" s="55" t="s">
        <v>360</v>
      </c>
      <c r="R6" s="55" t="s">
        <v>361</v>
      </c>
      <c r="S6" s="55" t="s">
        <v>362</v>
      </c>
      <c r="T6" s="55" t="s">
        <v>363</v>
      </c>
      <c r="U6" s="55" t="s">
        <v>364</v>
      </c>
      <c r="V6" s="55" t="s">
        <v>365</v>
      </c>
      <c r="W6" s="55" t="s">
        <v>366</v>
      </c>
      <c r="X6" s="55" t="s">
        <v>367</v>
      </c>
      <c r="Y6" s="55" t="s">
        <v>368</v>
      </c>
      <c r="Z6" s="55" t="s">
        <v>369</v>
      </c>
      <c r="AA6" s="55" t="s">
        <v>370</v>
      </c>
      <c r="AB6" s="55" t="s">
        <v>371</v>
      </c>
      <c r="AC6" s="55" t="s">
        <v>372</v>
      </c>
      <c r="AD6" s="55" t="s">
        <v>373</v>
      </c>
      <c r="AE6" s="55" t="s">
        <v>374</v>
      </c>
      <c r="AF6" s="55" t="s">
        <v>375</v>
      </c>
    </row>
    <row r="7" spans="1:37" s="47" customFormat="1">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row>
    <row r="8" spans="1:37" s="47" customFormat="1">
      <c r="A8" s="41" t="s">
        <v>376</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row>
    <row r="9" spans="1:37">
      <c r="A9" s="47" t="s">
        <v>290</v>
      </c>
      <c r="B9" s="54">
        <v>0.02</v>
      </c>
      <c r="C9" s="52">
        <f>Mort!D11</f>
        <v>0</v>
      </c>
      <c r="D9" s="52">
        <f>C9*(1+$B9)</f>
        <v>0</v>
      </c>
      <c r="E9" s="52">
        <f t="shared" ref="E9:Q9" si="0">D9*(1+$B9)</f>
        <v>0</v>
      </c>
      <c r="F9" s="52">
        <f t="shared" si="0"/>
        <v>0</v>
      </c>
      <c r="G9" s="52">
        <f t="shared" si="0"/>
        <v>0</v>
      </c>
      <c r="H9" s="52">
        <f t="shared" si="0"/>
        <v>0</v>
      </c>
      <c r="I9" s="52">
        <f t="shared" si="0"/>
        <v>0</v>
      </c>
      <c r="J9" s="52">
        <f t="shared" si="0"/>
        <v>0</v>
      </c>
      <c r="K9" s="52">
        <f t="shared" si="0"/>
        <v>0</v>
      </c>
      <c r="L9" s="52">
        <f t="shared" si="0"/>
        <v>0</v>
      </c>
      <c r="M9" s="52">
        <f t="shared" si="0"/>
        <v>0</v>
      </c>
      <c r="N9" s="52">
        <f t="shared" si="0"/>
        <v>0</v>
      </c>
      <c r="O9" s="52">
        <f t="shared" si="0"/>
        <v>0</v>
      </c>
      <c r="P9" s="52">
        <f t="shared" si="0"/>
        <v>0</v>
      </c>
      <c r="Q9" s="52">
        <f t="shared" si="0"/>
        <v>0</v>
      </c>
      <c r="R9" s="52">
        <f t="shared" ref="R9:AF9" si="1">Q9*(1+$B9)</f>
        <v>0</v>
      </c>
      <c r="S9" s="52">
        <f t="shared" si="1"/>
        <v>0</v>
      </c>
      <c r="T9" s="52">
        <f t="shared" si="1"/>
        <v>0</v>
      </c>
      <c r="U9" s="52">
        <f t="shared" si="1"/>
        <v>0</v>
      </c>
      <c r="V9" s="52">
        <f t="shared" si="1"/>
        <v>0</v>
      </c>
      <c r="W9" s="52">
        <f t="shared" si="1"/>
        <v>0</v>
      </c>
      <c r="X9" s="52">
        <f t="shared" si="1"/>
        <v>0</v>
      </c>
      <c r="Y9" s="52">
        <f t="shared" si="1"/>
        <v>0</v>
      </c>
      <c r="Z9" s="52">
        <f t="shared" si="1"/>
        <v>0</v>
      </c>
      <c r="AA9" s="52">
        <f t="shared" si="1"/>
        <v>0</v>
      </c>
      <c r="AB9" s="52">
        <f t="shared" si="1"/>
        <v>0</v>
      </c>
      <c r="AC9" s="52">
        <f t="shared" si="1"/>
        <v>0</v>
      </c>
      <c r="AD9" s="52">
        <f t="shared" si="1"/>
        <v>0</v>
      </c>
      <c r="AE9" s="52">
        <f t="shared" si="1"/>
        <v>0</v>
      </c>
      <c r="AF9" s="52">
        <f t="shared" si="1"/>
        <v>0</v>
      </c>
      <c r="AG9" s="22"/>
      <c r="AH9" s="22"/>
      <c r="AI9" s="22"/>
      <c r="AJ9" s="22"/>
      <c r="AK9" s="22"/>
    </row>
    <row r="10" spans="1:37">
      <c r="A10" s="47" t="s">
        <v>301</v>
      </c>
      <c r="B10" s="54">
        <v>0.02</v>
      </c>
      <c r="C10" s="52">
        <f>Mort!D13+Mort!D17</f>
        <v>0</v>
      </c>
      <c r="D10" s="52">
        <f>C10*(1+$B10)</f>
        <v>0</v>
      </c>
      <c r="E10" s="52">
        <f t="shared" ref="E10:Q10" si="2">D10*(1+$B10)</f>
        <v>0</v>
      </c>
      <c r="F10" s="52">
        <f t="shared" si="2"/>
        <v>0</v>
      </c>
      <c r="G10" s="52">
        <f t="shared" si="2"/>
        <v>0</v>
      </c>
      <c r="H10" s="52">
        <f t="shared" si="2"/>
        <v>0</v>
      </c>
      <c r="I10" s="52">
        <f t="shared" si="2"/>
        <v>0</v>
      </c>
      <c r="J10" s="52">
        <f t="shared" si="2"/>
        <v>0</v>
      </c>
      <c r="K10" s="52">
        <f t="shared" si="2"/>
        <v>0</v>
      </c>
      <c r="L10" s="52">
        <f t="shared" si="2"/>
        <v>0</v>
      </c>
      <c r="M10" s="52">
        <f t="shared" si="2"/>
        <v>0</v>
      </c>
      <c r="N10" s="52">
        <f t="shared" si="2"/>
        <v>0</v>
      </c>
      <c r="O10" s="52">
        <f t="shared" si="2"/>
        <v>0</v>
      </c>
      <c r="P10" s="52">
        <f t="shared" si="2"/>
        <v>0</v>
      </c>
      <c r="Q10" s="52">
        <f t="shared" si="2"/>
        <v>0</v>
      </c>
      <c r="R10" s="52">
        <f t="shared" ref="R10:AF10" si="3">Q10*(1+$B10)</f>
        <v>0</v>
      </c>
      <c r="S10" s="52">
        <f t="shared" si="3"/>
        <v>0</v>
      </c>
      <c r="T10" s="52">
        <f t="shared" si="3"/>
        <v>0</v>
      </c>
      <c r="U10" s="52">
        <f t="shared" si="3"/>
        <v>0</v>
      </c>
      <c r="V10" s="52">
        <f t="shared" si="3"/>
        <v>0</v>
      </c>
      <c r="W10" s="52">
        <f t="shared" si="3"/>
        <v>0</v>
      </c>
      <c r="X10" s="52">
        <f t="shared" si="3"/>
        <v>0</v>
      </c>
      <c r="Y10" s="52">
        <f t="shared" si="3"/>
        <v>0</v>
      </c>
      <c r="Z10" s="52">
        <f t="shared" si="3"/>
        <v>0</v>
      </c>
      <c r="AA10" s="52">
        <f t="shared" si="3"/>
        <v>0</v>
      </c>
      <c r="AB10" s="52">
        <f t="shared" si="3"/>
        <v>0</v>
      </c>
      <c r="AC10" s="52">
        <f t="shared" si="3"/>
        <v>0</v>
      </c>
      <c r="AD10" s="52">
        <f t="shared" si="3"/>
        <v>0</v>
      </c>
      <c r="AE10" s="52">
        <f t="shared" si="3"/>
        <v>0</v>
      </c>
      <c r="AF10" s="52">
        <f t="shared" si="3"/>
        <v>0</v>
      </c>
    </row>
    <row r="11" spans="1:37">
      <c r="A11" s="47" t="s">
        <v>377</v>
      </c>
      <c r="B11" s="54">
        <v>0.02</v>
      </c>
      <c r="C11" s="52">
        <f>Mort!D14+Mort!D18</f>
        <v>0</v>
      </c>
      <c r="D11" s="52">
        <f t="shared" ref="D11:Q13" si="4">C11*(1+$B11)</f>
        <v>0</v>
      </c>
      <c r="E11" s="52">
        <f t="shared" si="4"/>
        <v>0</v>
      </c>
      <c r="F11" s="52">
        <f t="shared" si="4"/>
        <v>0</v>
      </c>
      <c r="G11" s="52">
        <f t="shared" si="4"/>
        <v>0</v>
      </c>
      <c r="H11" s="52">
        <f t="shared" si="4"/>
        <v>0</v>
      </c>
      <c r="I11" s="52">
        <f t="shared" si="4"/>
        <v>0</v>
      </c>
      <c r="J11" s="52">
        <f t="shared" si="4"/>
        <v>0</v>
      </c>
      <c r="K11" s="52">
        <f t="shared" si="4"/>
        <v>0</v>
      </c>
      <c r="L11" s="52">
        <f t="shared" si="4"/>
        <v>0</v>
      </c>
      <c r="M11" s="52">
        <f t="shared" si="4"/>
        <v>0</v>
      </c>
      <c r="N11" s="52">
        <f t="shared" si="4"/>
        <v>0</v>
      </c>
      <c r="O11" s="52">
        <f t="shared" si="4"/>
        <v>0</v>
      </c>
      <c r="P11" s="52">
        <f t="shared" si="4"/>
        <v>0</v>
      </c>
      <c r="Q11" s="52">
        <f t="shared" si="4"/>
        <v>0</v>
      </c>
      <c r="R11" s="52">
        <f t="shared" ref="R11:AF11" si="5">Q11*(1+$B11)</f>
        <v>0</v>
      </c>
      <c r="S11" s="52">
        <f t="shared" si="5"/>
        <v>0</v>
      </c>
      <c r="T11" s="52">
        <f t="shared" si="5"/>
        <v>0</v>
      </c>
      <c r="U11" s="52">
        <f t="shared" si="5"/>
        <v>0</v>
      </c>
      <c r="V11" s="52">
        <f t="shared" si="5"/>
        <v>0</v>
      </c>
      <c r="W11" s="52">
        <f t="shared" si="5"/>
        <v>0</v>
      </c>
      <c r="X11" s="52">
        <f t="shared" si="5"/>
        <v>0</v>
      </c>
      <c r="Y11" s="52">
        <f t="shared" si="5"/>
        <v>0</v>
      </c>
      <c r="Z11" s="52">
        <f t="shared" si="5"/>
        <v>0</v>
      </c>
      <c r="AA11" s="52">
        <f t="shared" si="5"/>
        <v>0</v>
      </c>
      <c r="AB11" s="52">
        <f t="shared" si="5"/>
        <v>0</v>
      </c>
      <c r="AC11" s="52">
        <f t="shared" si="5"/>
        <v>0</v>
      </c>
      <c r="AD11" s="52">
        <f t="shared" si="5"/>
        <v>0</v>
      </c>
      <c r="AE11" s="52">
        <f t="shared" si="5"/>
        <v>0</v>
      </c>
      <c r="AF11" s="52">
        <f t="shared" si="5"/>
        <v>0</v>
      </c>
      <c r="AG11" s="22"/>
      <c r="AH11" s="22"/>
      <c r="AI11" s="22"/>
      <c r="AJ11" s="22"/>
      <c r="AK11" s="22"/>
    </row>
    <row r="12" spans="1:37">
      <c r="A12" s="47" t="s">
        <v>305</v>
      </c>
      <c r="B12" s="54">
        <v>0.02</v>
      </c>
      <c r="C12" s="52">
        <f>Mort!D15+Mort!D19</f>
        <v>0</v>
      </c>
      <c r="D12" s="52">
        <f t="shared" si="4"/>
        <v>0</v>
      </c>
      <c r="E12" s="52">
        <f t="shared" si="4"/>
        <v>0</v>
      </c>
      <c r="F12" s="52">
        <f t="shared" si="4"/>
        <v>0</v>
      </c>
      <c r="G12" s="52">
        <f t="shared" si="4"/>
        <v>0</v>
      </c>
      <c r="H12" s="52">
        <f t="shared" si="4"/>
        <v>0</v>
      </c>
      <c r="I12" s="52">
        <f t="shared" si="4"/>
        <v>0</v>
      </c>
      <c r="J12" s="52">
        <f t="shared" si="4"/>
        <v>0</v>
      </c>
      <c r="K12" s="52">
        <f t="shared" si="4"/>
        <v>0</v>
      </c>
      <c r="L12" s="52">
        <f t="shared" si="4"/>
        <v>0</v>
      </c>
      <c r="M12" s="52">
        <f t="shared" si="4"/>
        <v>0</v>
      </c>
      <c r="N12" s="52">
        <f t="shared" si="4"/>
        <v>0</v>
      </c>
      <c r="O12" s="52">
        <f t="shared" si="4"/>
        <v>0</v>
      </c>
      <c r="P12" s="52">
        <f t="shared" si="4"/>
        <v>0</v>
      </c>
      <c r="Q12" s="52">
        <f t="shared" si="4"/>
        <v>0</v>
      </c>
      <c r="R12" s="52">
        <f t="shared" ref="R12:AF12" si="6">Q12*(1+$B12)</f>
        <v>0</v>
      </c>
      <c r="S12" s="52">
        <f t="shared" si="6"/>
        <v>0</v>
      </c>
      <c r="T12" s="52">
        <f t="shared" si="6"/>
        <v>0</v>
      </c>
      <c r="U12" s="52">
        <f t="shared" si="6"/>
        <v>0</v>
      </c>
      <c r="V12" s="52">
        <f t="shared" si="6"/>
        <v>0</v>
      </c>
      <c r="W12" s="52">
        <f t="shared" si="6"/>
        <v>0</v>
      </c>
      <c r="X12" s="52">
        <f t="shared" si="6"/>
        <v>0</v>
      </c>
      <c r="Y12" s="52">
        <f t="shared" si="6"/>
        <v>0</v>
      </c>
      <c r="Z12" s="52">
        <f t="shared" si="6"/>
        <v>0</v>
      </c>
      <c r="AA12" s="52">
        <f t="shared" si="6"/>
        <v>0</v>
      </c>
      <c r="AB12" s="52">
        <f t="shared" si="6"/>
        <v>0</v>
      </c>
      <c r="AC12" s="52">
        <f t="shared" si="6"/>
        <v>0</v>
      </c>
      <c r="AD12" s="52">
        <f t="shared" si="6"/>
        <v>0</v>
      </c>
      <c r="AE12" s="52">
        <f t="shared" si="6"/>
        <v>0</v>
      </c>
      <c r="AF12" s="52">
        <f t="shared" si="6"/>
        <v>0</v>
      </c>
      <c r="AG12" s="22"/>
      <c r="AH12" s="22"/>
      <c r="AI12" s="22"/>
      <c r="AJ12" s="22"/>
      <c r="AK12" s="22"/>
    </row>
    <row r="13" spans="1:37">
      <c r="A13" s="47" t="s">
        <v>378</v>
      </c>
      <c r="B13" s="54">
        <v>0.02</v>
      </c>
      <c r="C13" s="52">
        <f>Mort!D16+Mort!D20</f>
        <v>0</v>
      </c>
      <c r="D13" s="52">
        <f t="shared" si="4"/>
        <v>0</v>
      </c>
      <c r="E13" s="52">
        <f t="shared" si="4"/>
        <v>0</v>
      </c>
      <c r="F13" s="52">
        <f t="shared" si="4"/>
        <v>0</v>
      </c>
      <c r="G13" s="52">
        <f t="shared" si="4"/>
        <v>0</v>
      </c>
      <c r="H13" s="52">
        <f t="shared" si="4"/>
        <v>0</v>
      </c>
      <c r="I13" s="52">
        <f t="shared" si="4"/>
        <v>0</v>
      </c>
      <c r="J13" s="52">
        <f t="shared" si="4"/>
        <v>0</v>
      </c>
      <c r="K13" s="52">
        <f t="shared" si="4"/>
        <v>0</v>
      </c>
      <c r="L13" s="52">
        <f t="shared" si="4"/>
        <v>0</v>
      </c>
      <c r="M13" s="52">
        <f t="shared" si="4"/>
        <v>0</v>
      </c>
      <c r="N13" s="52">
        <f t="shared" si="4"/>
        <v>0</v>
      </c>
      <c r="O13" s="52">
        <f t="shared" si="4"/>
        <v>0</v>
      </c>
      <c r="P13" s="52">
        <f t="shared" si="4"/>
        <v>0</v>
      </c>
      <c r="Q13" s="52">
        <f t="shared" si="4"/>
        <v>0</v>
      </c>
      <c r="R13" s="52">
        <f t="shared" ref="R13:AF13" si="7">Q13*(1+$B13)</f>
        <v>0</v>
      </c>
      <c r="S13" s="52">
        <f t="shared" si="7"/>
        <v>0</v>
      </c>
      <c r="T13" s="52">
        <f t="shared" si="7"/>
        <v>0</v>
      </c>
      <c r="U13" s="52">
        <f t="shared" si="7"/>
        <v>0</v>
      </c>
      <c r="V13" s="52">
        <f t="shared" si="7"/>
        <v>0</v>
      </c>
      <c r="W13" s="52">
        <f t="shared" si="7"/>
        <v>0</v>
      </c>
      <c r="X13" s="52">
        <f t="shared" si="7"/>
        <v>0</v>
      </c>
      <c r="Y13" s="52">
        <f t="shared" si="7"/>
        <v>0</v>
      </c>
      <c r="Z13" s="52">
        <f t="shared" si="7"/>
        <v>0</v>
      </c>
      <c r="AA13" s="52">
        <f t="shared" si="7"/>
        <v>0</v>
      </c>
      <c r="AB13" s="52">
        <f t="shared" si="7"/>
        <v>0</v>
      </c>
      <c r="AC13" s="52">
        <f t="shared" si="7"/>
        <v>0</v>
      </c>
      <c r="AD13" s="52">
        <f t="shared" si="7"/>
        <v>0</v>
      </c>
      <c r="AE13" s="52">
        <f t="shared" si="7"/>
        <v>0</v>
      </c>
      <c r="AF13" s="52">
        <f t="shared" si="7"/>
        <v>0</v>
      </c>
      <c r="AG13" s="22"/>
      <c r="AH13" s="22"/>
      <c r="AI13" s="22"/>
      <c r="AJ13" s="22"/>
      <c r="AK13" s="22"/>
    </row>
    <row r="14" spans="1:37" s="19" customFormat="1">
      <c r="A14" s="397" t="s">
        <v>379</v>
      </c>
      <c r="C14" s="39">
        <f t="shared" ref="C14:N14" si="8">SUM(C9:C13)</f>
        <v>0</v>
      </c>
      <c r="D14" s="39">
        <f t="shared" si="8"/>
        <v>0</v>
      </c>
      <c r="E14" s="39">
        <f t="shared" si="8"/>
        <v>0</v>
      </c>
      <c r="F14" s="39">
        <f t="shared" si="8"/>
        <v>0</v>
      </c>
      <c r="G14" s="39">
        <f t="shared" si="8"/>
        <v>0</v>
      </c>
      <c r="H14" s="39">
        <f t="shared" si="8"/>
        <v>0</v>
      </c>
      <c r="I14" s="39">
        <f t="shared" si="8"/>
        <v>0</v>
      </c>
      <c r="J14" s="39">
        <f t="shared" si="8"/>
        <v>0</v>
      </c>
      <c r="K14" s="39">
        <f t="shared" si="8"/>
        <v>0</v>
      </c>
      <c r="L14" s="39">
        <f t="shared" si="8"/>
        <v>0</v>
      </c>
      <c r="M14" s="39">
        <f t="shared" si="8"/>
        <v>0</v>
      </c>
      <c r="N14" s="39">
        <f t="shared" si="8"/>
        <v>0</v>
      </c>
      <c r="O14" s="39">
        <f>SUM(O9:O13)</f>
        <v>0</v>
      </c>
      <c r="P14" s="39">
        <f>SUM(P9:P13)</f>
        <v>0</v>
      </c>
      <c r="Q14" s="39">
        <f>SUM(Q9:Q13)</f>
        <v>0</v>
      </c>
      <c r="R14" s="39">
        <f t="shared" ref="R14:AF14" si="9">SUM(R9:R13)</f>
        <v>0</v>
      </c>
      <c r="S14" s="39">
        <f t="shared" si="9"/>
        <v>0</v>
      </c>
      <c r="T14" s="39">
        <f t="shared" si="9"/>
        <v>0</v>
      </c>
      <c r="U14" s="39">
        <f t="shared" si="9"/>
        <v>0</v>
      </c>
      <c r="V14" s="39">
        <f t="shared" si="9"/>
        <v>0</v>
      </c>
      <c r="W14" s="39">
        <f t="shared" si="9"/>
        <v>0</v>
      </c>
      <c r="X14" s="39">
        <f t="shared" si="9"/>
        <v>0</v>
      </c>
      <c r="Y14" s="39">
        <f t="shared" si="9"/>
        <v>0</v>
      </c>
      <c r="Z14" s="39">
        <f t="shared" si="9"/>
        <v>0</v>
      </c>
      <c r="AA14" s="39">
        <f t="shared" si="9"/>
        <v>0</v>
      </c>
      <c r="AB14" s="39">
        <f t="shared" si="9"/>
        <v>0</v>
      </c>
      <c r="AC14" s="39">
        <f t="shared" si="9"/>
        <v>0</v>
      </c>
      <c r="AD14" s="39">
        <f t="shared" si="9"/>
        <v>0</v>
      </c>
      <c r="AE14" s="39">
        <f t="shared" si="9"/>
        <v>0</v>
      </c>
      <c r="AF14" s="39">
        <f t="shared" si="9"/>
        <v>0</v>
      </c>
    </row>
    <row r="15" spans="1:37">
      <c r="A15" s="47"/>
      <c r="O15" s="52"/>
      <c r="P15" s="52"/>
      <c r="Q15" s="52"/>
      <c r="R15" s="52"/>
      <c r="S15" s="52"/>
      <c r="T15" s="52"/>
      <c r="U15" s="52"/>
      <c r="V15" s="52"/>
      <c r="W15" s="52"/>
      <c r="X15" s="52"/>
      <c r="Y15" s="52"/>
      <c r="Z15" s="52"/>
      <c r="AA15" s="52"/>
      <c r="AB15" s="52"/>
      <c r="AC15" s="52"/>
      <c r="AD15" s="52"/>
      <c r="AE15" s="52"/>
      <c r="AF15" s="52"/>
    </row>
    <row r="16" spans="1:37">
      <c r="A16" s="41" t="s">
        <v>380</v>
      </c>
      <c r="O16" s="52"/>
      <c r="P16" s="52"/>
      <c r="Q16" s="52"/>
      <c r="R16" s="52"/>
      <c r="S16" s="52"/>
      <c r="T16" s="52"/>
      <c r="U16" s="52"/>
      <c r="V16" s="52"/>
      <c r="W16" s="52"/>
      <c r="X16" s="52"/>
      <c r="Y16" s="52"/>
      <c r="Z16" s="52"/>
      <c r="AA16" s="52"/>
      <c r="AB16" s="52"/>
      <c r="AC16" s="52"/>
      <c r="AD16" s="52"/>
      <c r="AE16" s="52"/>
      <c r="AF16" s="52"/>
    </row>
    <row r="17" spans="1:32">
      <c r="A17" s="47" t="s">
        <v>381</v>
      </c>
      <c r="B17" s="54">
        <v>0.03</v>
      </c>
      <c r="C17" s="52">
        <f>Mort!D25+Mort!D26-'M and O'!C24</f>
        <v>0</v>
      </c>
      <c r="D17" s="52">
        <f t="shared" ref="D17:Q19" si="10">C17*(1+$B17)</f>
        <v>0</v>
      </c>
      <c r="E17" s="52">
        <f t="shared" si="10"/>
        <v>0</v>
      </c>
      <c r="F17" s="52">
        <f t="shared" si="10"/>
        <v>0</v>
      </c>
      <c r="G17" s="52">
        <f t="shared" si="10"/>
        <v>0</v>
      </c>
      <c r="H17" s="52">
        <f t="shared" si="10"/>
        <v>0</v>
      </c>
      <c r="I17" s="52">
        <f t="shared" si="10"/>
        <v>0</v>
      </c>
      <c r="J17" s="52">
        <f t="shared" si="10"/>
        <v>0</v>
      </c>
      <c r="K17" s="52">
        <f t="shared" si="10"/>
        <v>0</v>
      </c>
      <c r="L17" s="52">
        <f t="shared" si="10"/>
        <v>0</v>
      </c>
      <c r="M17" s="52">
        <f t="shared" si="10"/>
        <v>0</v>
      </c>
      <c r="N17" s="52">
        <f t="shared" si="10"/>
        <v>0</v>
      </c>
      <c r="O17" s="52">
        <f t="shared" si="10"/>
        <v>0</v>
      </c>
      <c r="P17" s="52">
        <f t="shared" si="10"/>
        <v>0</v>
      </c>
      <c r="Q17" s="52">
        <f t="shared" si="10"/>
        <v>0</v>
      </c>
      <c r="R17" s="52">
        <f t="shared" ref="R17:AF18" si="11">Q17*(1+$B17)</f>
        <v>0</v>
      </c>
      <c r="S17" s="52">
        <f t="shared" si="11"/>
        <v>0</v>
      </c>
      <c r="T17" s="52">
        <f t="shared" si="11"/>
        <v>0</v>
      </c>
      <c r="U17" s="52">
        <f t="shared" si="11"/>
        <v>0</v>
      </c>
      <c r="V17" s="52">
        <f t="shared" si="11"/>
        <v>0</v>
      </c>
      <c r="W17" s="52">
        <f t="shared" si="11"/>
        <v>0</v>
      </c>
      <c r="X17" s="52">
        <f t="shared" si="11"/>
        <v>0</v>
      </c>
      <c r="Y17" s="52">
        <f t="shared" si="11"/>
        <v>0</v>
      </c>
      <c r="Z17" s="52">
        <f t="shared" si="11"/>
        <v>0</v>
      </c>
      <c r="AA17" s="52">
        <f t="shared" si="11"/>
        <v>0</v>
      </c>
      <c r="AB17" s="52">
        <f t="shared" si="11"/>
        <v>0</v>
      </c>
      <c r="AC17" s="52">
        <f t="shared" si="11"/>
        <v>0</v>
      </c>
      <c r="AD17" s="52">
        <f t="shared" si="11"/>
        <v>0</v>
      </c>
      <c r="AE17" s="52">
        <f t="shared" si="11"/>
        <v>0</v>
      </c>
      <c r="AF17" s="52">
        <f t="shared" si="11"/>
        <v>0</v>
      </c>
    </row>
    <row r="18" spans="1:32">
      <c r="A18" s="47" t="s">
        <v>382</v>
      </c>
      <c r="B18" s="54">
        <v>0.02</v>
      </c>
      <c r="C18" s="52">
        <f>'M and O'!C24</f>
        <v>0</v>
      </c>
      <c r="D18" s="52">
        <f t="shared" si="10"/>
        <v>0</v>
      </c>
      <c r="E18" s="52">
        <f t="shared" ref="E18" si="12">D18*(1+$B18)</f>
        <v>0</v>
      </c>
      <c r="F18" s="52">
        <f t="shared" ref="F18" si="13">E18*(1+$B18)</f>
        <v>0</v>
      </c>
      <c r="G18" s="52">
        <f t="shared" ref="G18" si="14">F18*(1+$B18)</f>
        <v>0</v>
      </c>
      <c r="H18" s="52">
        <f t="shared" ref="H18" si="15">G18*(1+$B18)</f>
        <v>0</v>
      </c>
      <c r="I18" s="52">
        <f t="shared" ref="I18" si="16">H18*(1+$B18)</f>
        <v>0</v>
      </c>
      <c r="J18" s="52">
        <f t="shared" ref="J18" si="17">I18*(1+$B18)</f>
        <v>0</v>
      </c>
      <c r="K18" s="52">
        <f t="shared" ref="K18" si="18">J18*(1+$B18)</f>
        <v>0</v>
      </c>
      <c r="L18" s="52">
        <f t="shared" ref="L18" si="19">K18*(1+$B18)</f>
        <v>0</v>
      </c>
      <c r="M18" s="52">
        <f t="shared" ref="M18" si="20">L18*(1+$B18)</f>
        <v>0</v>
      </c>
      <c r="N18" s="52">
        <f t="shared" ref="N18" si="21">M18*(1+$B18)</f>
        <v>0</v>
      </c>
      <c r="O18" s="52">
        <f t="shared" ref="O18" si="22">N18*(1+$B18)</f>
        <v>0</v>
      </c>
      <c r="P18" s="52">
        <f t="shared" ref="P18" si="23">O18*(1+$B18)</f>
        <v>0</v>
      </c>
      <c r="Q18" s="52">
        <f t="shared" ref="Q18" si="24">P18*(1+$B18)</f>
        <v>0</v>
      </c>
      <c r="R18" s="52">
        <f t="shared" si="11"/>
        <v>0</v>
      </c>
      <c r="S18" s="52">
        <f t="shared" si="11"/>
        <v>0</v>
      </c>
      <c r="T18" s="52">
        <f t="shared" si="11"/>
        <v>0</v>
      </c>
      <c r="U18" s="52">
        <f t="shared" si="11"/>
        <v>0</v>
      </c>
      <c r="V18" s="52">
        <f t="shared" si="11"/>
        <v>0</v>
      </c>
      <c r="W18" s="52">
        <f t="shared" si="11"/>
        <v>0</v>
      </c>
      <c r="X18" s="52">
        <f t="shared" si="11"/>
        <v>0</v>
      </c>
      <c r="Y18" s="52">
        <f t="shared" si="11"/>
        <v>0</v>
      </c>
      <c r="Z18" s="52">
        <f t="shared" si="11"/>
        <v>0</v>
      </c>
      <c r="AA18" s="52">
        <f t="shared" si="11"/>
        <v>0</v>
      </c>
      <c r="AB18" s="52">
        <f t="shared" si="11"/>
        <v>0</v>
      </c>
      <c r="AC18" s="52">
        <f t="shared" si="11"/>
        <v>0</v>
      </c>
      <c r="AD18" s="52">
        <f t="shared" si="11"/>
        <v>0</v>
      </c>
      <c r="AE18" s="52">
        <f t="shared" si="11"/>
        <v>0</v>
      </c>
      <c r="AF18" s="52">
        <f t="shared" si="11"/>
        <v>0</v>
      </c>
    </row>
    <row r="19" spans="1:32">
      <c r="A19" s="47" t="s">
        <v>383</v>
      </c>
      <c r="B19" s="54">
        <v>0.03</v>
      </c>
      <c r="C19" s="52">
        <f>Mort!D27</f>
        <v>0</v>
      </c>
      <c r="D19" s="52">
        <f t="shared" si="10"/>
        <v>0</v>
      </c>
      <c r="E19" s="52">
        <f t="shared" si="10"/>
        <v>0</v>
      </c>
      <c r="F19" s="52">
        <f t="shared" si="10"/>
        <v>0</v>
      </c>
      <c r="G19" s="52">
        <f t="shared" si="10"/>
        <v>0</v>
      </c>
      <c r="H19" s="52">
        <f t="shared" si="10"/>
        <v>0</v>
      </c>
      <c r="I19" s="52">
        <f t="shared" si="10"/>
        <v>0</v>
      </c>
      <c r="J19" s="52">
        <f t="shared" si="10"/>
        <v>0</v>
      </c>
      <c r="K19" s="52">
        <f t="shared" si="10"/>
        <v>0</v>
      </c>
      <c r="L19" s="52">
        <f t="shared" si="10"/>
        <v>0</v>
      </c>
      <c r="M19" s="52">
        <f t="shared" si="10"/>
        <v>0</v>
      </c>
      <c r="N19" s="52">
        <f t="shared" si="10"/>
        <v>0</v>
      </c>
      <c r="O19" s="52">
        <f t="shared" si="10"/>
        <v>0</v>
      </c>
      <c r="P19" s="52">
        <f t="shared" si="10"/>
        <v>0</v>
      </c>
      <c r="Q19" s="52">
        <f t="shared" si="10"/>
        <v>0</v>
      </c>
      <c r="R19" s="52">
        <f t="shared" ref="R19:AF19" si="25">Q19*(1+$B19)</f>
        <v>0</v>
      </c>
      <c r="S19" s="52">
        <f t="shared" si="25"/>
        <v>0</v>
      </c>
      <c r="T19" s="52">
        <f t="shared" si="25"/>
        <v>0</v>
      </c>
      <c r="U19" s="52">
        <f t="shared" si="25"/>
        <v>0</v>
      </c>
      <c r="V19" s="52">
        <f t="shared" si="25"/>
        <v>0</v>
      </c>
      <c r="W19" s="52">
        <f t="shared" si="25"/>
        <v>0</v>
      </c>
      <c r="X19" s="52">
        <f t="shared" si="25"/>
        <v>0</v>
      </c>
      <c r="Y19" s="52">
        <f t="shared" si="25"/>
        <v>0</v>
      </c>
      <c r="Z19" s="52">
        <f t="shared" si="25"/>
        <v>0</v>
      </c>
      <c r="AA19" s="52">
        <f t="shared" si="25"/>
        <v>0</v>
      </c>
      <c r="AB19" s="52">
        <f t="shared" si="25"/>
        <v>0</v>
      </c>
      <c r="AC19" s="52">
        <f t="shared" si="25"/>
        <v>0</v>
      </c>
      <c r="AD19" s="52">
        <f t="shared" si="25"/>
        <v>0</v>
      </c>
      <c r="AE19" s="52">
        <f t="shared" si="25"/>
        <v>0</v>
      </c>
      <c r="AF19" s="52">
        <f t="shared" si="25"/>
        <v>0</v>
      </c>
    </row>
    <row r="20" spans="1:32" s="19" customFormat="1">
      <c r="A20" s="397" t="s">
        <v>326</v>
      </c>
      <c r="C20" s="39">
        <f t="shared" ref="C20:N20" si="26">SUM(C17:C19)</f>
        <v>0</v>
      </c>
      <c r="D20" s="39">
        <f t="shared" si="26"/>
        <v>0</v>
      </c>
      <c r="E20" s="39">
        <f t="shared" si="26"/>
        <v>0</v>
      </c>
      <c r="F20" s="39">
        <f t="shared" si="26"/>
        <v>0</v>
      </c>
      <c r="G20" s="39">
        <f t="shared" si="26"/>
        <v>0</v>
      </c>
      <c r="H20" s="39">
        <f t="shared" si="26"/>
        <v>0</v>
      </c>
      <c r="I20" s="39">
        <f t="shared" si="26"/>
        <v>0</v>
      </c>
      <c r="J20" s="39">
        <f t="shared" si="26"/>
        <v>0</v>
      </c>
      <c r="K20" s="39">
        <f t="shared" si="26"/>
        <v>0</v>
      </c>
      <c r="L20" s="39">
        <f t="shared" si="26"/>
        <v>0</v>
      </c>
      <c r="M20" s="39">
        <f t="shared" si="26"/>
        <v>0</v>
      </c>
      <c r="N20" s="39">
        <f t="shared" si="26"/>
        <v>0</v>
      </c>
      <c r="O20" s="39">
        <f>SUM(O17:O19)</f>
        <v>0</v>
      </c>
      <c r="P20" s="39">
        <f>SUM(P17:P19)</f>
        <v>0</v>
      </c>
      <c r="Q20" s="39">
        <f>SUM(Q17:Q19)</f>
        <v>0</v>
      </c>
      <c r="R20" s="39">
        <f t="shared" ref="R20:AF20" si="27">SUM(R17:R19)</f>
        <v>0</v>
      </c>
      <c r="S20" s="39">
        <f t="shared" si="27"/>
        <v>0</v>
      </c>
      <c r="T20" s="39">
        <f t="shared" si="27"/>
        <v>0</v>
      </c>
      <c r="U20" s="39">
        <f t="shared" si="27"/>
        <v>0</v>
      </c>
      <c r="V20" s="39">
        <f t="shared" si="27"/>
        <v>0</v>
      </c>
      <c r="W20" s="39">
        <f t="shared" si="27"/>
        <v>0</v>
      </c>
      <c r="X20" s="39">
        <f t="shared" si="27"/>
        <v>0</v>
      </c>
      <c r="Y20" s="39">
        <f t="shared" si="27"/>
        <v>0</v>
      </c>
      <c r="Z20" s="39">
        <f t="shared" si="27"/>
        <v>0</v>
      </c>
      <c r="AA20" s="39">
        <f t="shared" si="27"/>
        <v>0</v>
      </c>
      <c r="AB20" s="39">
        <f t="shared" si="27"/>
        <v>0</v>
      </c>
      <c r="AC20" s="39">
        <f t="shared" si="27"/>
        <v>0</v>
      </c>
      <c r="AD20" s="39">
        <f t="shared" si="27"/>
        <v>0</v>
      </c>
      <c r="AE20" s="39">
        <f t="shared" si="27"/>
        <v>0</v>
      </c>
      <c r="AF20" s="39">
        <f t="shared" si="27"/>
        <v>0</v>
      </c>
    </row>
    <row r="21" spans="1:32">
      <c r="A21" s="47"/>
      <c r="O21" s="52"/>
      <c r="P21" s="52"/>
      <c r="Q21" s="52"/>
      <c r="R21" s="52"/>
      <c r="S21" s="52"/>
      <c r="T21" s="52"/>
      <c r="U21" s="52"/>
      <c r="V21" s="52"/>
      <c r="W21" s="52"/>
      <c r="X21" s="52"/>
      <c r="Y21" s="52"/>
      <c r="Z21" s="52"/>
      <c r="AA21" s="52"/>
      <c r="AB21" s="52"/>
      <c r="AC21" s="52"/>
      <c r="AD21" s="52"/>
      <c r="AE21" s="52"/>
      <c r="AF21" s="52"/>
    </row>
    <row r="22" spans="1:32" s="19" customFormat="1">
      <c r="A22" s="41" t="s">
        <v>384</v>
      </c>
      <c r="C22" s="39">
        <f t="shared" ref="C22:N22" si="28">C14-C20</f>
        <v>0</v>
      </c>
      <c r="D22" s="39">
        <f t="shared" si="28"/>
        <v>0</v>
      </c>
      <c r="E22" s="39">
        <f t="shared" si="28"/>
        <v>0</v>
      </c>
      <c r="F22" s="39">
        <f t="shared" si="28"/>
        <v>0</v>
      </c>
      <c r="G22" s="39">
        <f t="shared" si="28"/>
        <v>0</v>
      </c>
      <c r="H22" s="39">
        <f t="shared" si="28"/>
        <v>0</v>
      </c>
      <c r="I22" s="39">
        <f t="shared" si="28"/>
        <v>0</v>
      </c>
      <c r="J22" s="39">
        <f t="shared" si="28"/>
        <v>0</v>
      </c>
      <c r="K22" s="39">
        <f t="shared" si="28"/>
        <v>0</v>
      </c>
      <c r="L22" s="39">
        <f t="shared" si="28"/>
        <v>0</v>
      </c>
      <c r="M22" s="39">
        <f t="shared" si="28"/>
        <v>0</v>
      </c>
      <c r="N22" s="39">
        <f t="shared" si="28"/>
        <v>0</v>
      </c>
      <c r="O22" s="39">
        <f>O14-O20</f>
        <v>0</v>
      </c>
      <c r="P22" s="39">
        <f>P14-P20</f>
        <v>0</v>
      </c>
      <c r="Q22" s="39">
        <f>Q14-Q20</f>
        <v>0</v>
      </c>
      <c r="R22" s="39">
        <f t="shared" ref="R22:AF22" si="29">R14-R20</f>
        <v>0</v>
      </c>
      <c r="S22" s="39">
        <f t="shared" si="29"/>
        <v>0</v>
      </c>
      <c r="T22" s="39">
        <f t="shared" si="29"/>
        <v>0</v>
      </c>
      <c r="U22" s="39">
        <f t="shared" si="29"/>
        <v>0</v>
      </c>
      <c r="V22" s="39">
        <f t="shared" si="29"/>
        <v>0</v>
      </c>
      <c r="W22" s="39">
        <f t="shared" si="29"/>
        <v>0</v>
      </c>
      <c r="X22" s="39">
        <f t="shared" si="29"/>
        <v>0</v>
      </c>
      <c r="Y22" s="39">
        <f t="shared" si="29"/>
        <v>0</v>
      </c>
      <c r="Z22" s="39">
        <f t="shared" si="29"/>
        <v>0</v>
      </c>
      <c r="AA22" s="39">
        <f t="shared" si="29"/>
        <v>0</v>
      </c>
      <c r="AB22" s="39">
        <f t="shared" si="29"/>
        <v>0</v>
      </c>
      <c r="AC22" s="39">
        <f t="shared" si="29"/>
        <v>0</v>
      </c>
      <c r="AD22" s="39">
        <f t="shared" si="29"/>
        <v>0</v>
      </c>
      <c r="AE22" s="39">
        <f t="shared" si="29"/>
        <v>0</v>
      </c>
      <c r="AF22" s="39">
        <f t="shared" si="29"/>
        <v>0</v>
      </c>
    </row>
    <row r="23" spans="1:32" s="19" customFormat="1">
      <c r="A23" s="41"/>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spans="1:32" s="25" customFormat="1">
      <c r="A24" s="397" t="s">
        <v>339</v>
      </c>
      <c r="B24" s="51"/>
      <c r="C24" s="529" t="e">
        <f>Mort!L36</f>
        <v>#DIV/0!</v>
      </c>
      <c r="D24" s="529" t="e">
        <f t="shared" ref="D24:N24" si="30">C24</f>
        <v>#DIV/0!</v>
      </c>
      <c r="E24" s="529" t="e">
        <f t="shared" si="30"/>
        <v>#DIV/0!</v>
      </c>
      <c r="F24" s="529" t="e">
        <f t="shared" si="30"/>
        <v>#DIV/0!</v>
      </c>
      <c r="G24" s="529" t="e">
        <f t="shared" si="30"/>
        <v>#DIV/0!</v>
      </c>
      <c r="H24" s="529" t="e">
        <f t="shared" si="30"/>
        <v>#DIV/0!</v>
      </c>
      <c r="I24" s="529" t="e">
        <f t="shared" si="30"/>
        <v>#DIV/0!</v>
      </c>
      <c r="J24" s="529" t="e">
        <f t="shared" si="30"/>
        <v>#DIV/0!</v>
      </c>
      <c r="K24" s="529" t="e">
        <f t="shared" si="30"/>
        <v>#DIV/0!</v>
      </c>
      <c r="L24" s="529" t="e">
        <f t="shared" si="30"/>
        <v>#DIV/0!</v>
      </c>
      <c r="M24" s="529" t="e">
        <f t="shared" si="30"/>
        <v>#DIV/0!</v>
      </c>
      <c r="N24" s="529" t="e">
        <f t="shared" si="30"/>
        <v>#DIV/0!</v>
      </c>
      <c r="O24" s="529" t="e">
        <f>N24</f>
        <v>#DIV/0!</v>
      </c>
      <c r="P24" s="529" t="e">
        <f>O24</f>
        <v>#DIV/0!</v>
      </c>
      <c r="Q24" s="529" t="e">
        <f>P24</f>
        <v>#DIV/0!</v>
      </c>
      <c r="R24" s="529" t="e">
        <f t="shared" ref="R24:AF24" si="31">Q24</f>
        <v>#DIV/0!</v>
      </c>
      <c r="S24" s="529" t="e">
        <f t="shared" si="31"/>
        <v>#DIV/0!</v>
      </c>
      <c r="T24" s="529" t="e">
        <f t="shared" si="31"/>
        <v>#DIV/0!</v>
      </c>
      <c r="U24" s="529" t="e">
        <f t="shared" si="31"/>
        <v>#DIV/0!</v>
      </c>
      <c r="V24" s="529" t="e">
        <f t="shared" si="31"/>
        <v>#DIV/0!</v>
      </c>
      <c r="W24" s="529" t="e">
        <f t="shared" si="31"/>
        <v>#DIV/0!</v>
      </c>
      <c r="X24" s="529" t="e">
        <f t="shared" si="31"/>
        <v>#DIV/0!</v>
      </c>
      <c r="Y24" s="529" t="e">
        <f t="shared" si="31"/>
        <v>#DIV/0!</v>
      </c>
      <c r="Z24" s="529" t="e">
        <f t="shared" si="31"/>
        <v>#DIV/0!</v>
      </c>
      <c r="AA24" s="529" t="e">
        <f t="shared" si="31"/>
        <v>#DIV/0!</v>
      </c>
      <c r="AB24" s="529" t="e">
        <f t="shared" si="31"/>
        <v>#DIV/0!</v>
      </c>
      <c r="AC24" s="529" t="e">
        <f t="shared" si="31"/>
        <v>#DIV/0!</v>
      </c>
      <c r="AD24" s="529" t="e">
        <f t="shared" si="31"/>
        <v>#DIV/0!</v>
      </c>
      <c r="AE24" s="529" t="e">
        <f t="shared" si="31"/>
        <v>#DIV/0!</v>
      </c>
      <c r="AF24" s="529" t="e">
        <f t="shared" si="31"/>
        <v>#DIV/0!</v>
      </c>
    </row>
    <row r="25" spans="1:32" s="19" customFormat="1">
      <c r="A25" s="41"/>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spans="1:32" s="19" customFormat="1">
      <c r="A26" s="41" t="s">
        <v>385</v>
      </c>
      <c r="C26" s="39" t="e">
        <f t="shared" ref="C26:N26" si="32">C22-C24</f>
        <v>#DIV/0!</v>
      </c>
      <c r="D26" s="39" t="e">
        <f t="shared" si="32"/>
        <v>#DIV/0!</v>
      </c>
      <c r="E26" s="39" t="e">
        <f t="shared" si="32"/>
        <v>#DIV/0!</v>
      </c>
      <c r="F26" s="39" t="e">
        <f t="shared" si="32"/>
        <v>#DIV/0!</v>
      </c>
      <c r="G26" s="39" t="e">
        <f t="shared" si="32"/>
        <v>#DIV/0!</v>
      </c>
      <c r="H26" s="39" t="e">
        <f t="shared" si="32"/>
        <v>#DIV/0!</v>
      </c>
      <c r="I26" s="39" t="e">
        <f t="shared" si="32"/>
        <v>#DIV/0!</v>
      </c>
      <c r="J26" s="39" t="e">
        <f t="shared" si="32"/>
        <v>#DIV/0!</v>
      </c>
      <c r="K26" s="39" t="e">
        <f t="shared" si="32"/>
        <v>#DIV/0!</v>
      </c>
      <c r="L26" s="39" t="e">
        <f t="shared" si="32"/>
        <v>#DIV/0!</v>
      </c>
      <c r="M26" s="39" t="e">
        <f t="shared" si="32"/>
        <v>#DIV/0!</v>
      </c>
      <c r="N26" s="39" t="e">
        <f t="shared" si="32"/>
        <v>#DIV/0!</v>
      </c>
      <c r="O26" s="39" t="e">
        <f>O22-O24</f>
        <v>#DIV/0!</v>
      </c>
      <c r="P26" s="39" t="e">
        <f>P22-P24</f>
        <v>#DIV/0!</v>
      </c>
      <c r="Q26" s="39" t="e">
        <f>Q22-Q24</f>
        <v>#DIV/0!</v>
      </c>
      <c r="R26" s="39" t="e">
        <f t="shared" ref="R26:AF26" si="33">R22-R24</f>
        <v>#DIV/0!</v>
      </c>
      <c r="S26" s="39" t="e">
        <f t="shared" si="33"/>
        <v>#DIV/0!</v>
      </c>
      <c r="T26" s="39" t="e">
        <f t="shared" si="33"/>
        <v>#DIV/0!</v>
      </c>
      <c r="U26" s="39" t="e">
        <f t="shared" si="33"/>
        <v>#DIV/0!</v>
      </c>
      <c r="V26" s="39" t="e">
        <f t="shared" si="33"/>
        <v>#DIV/0!</v>
      </c>
      <c r="W26" s="39" t="e">
        <f t="shared" si="33"/>
        <v>#DIV/0!</v>
      </c>
      <c r="X26" s="39" t="e">
        <f t="shared" si="33"/>
        <v>#DIV/0!</v>
      </c>
      <c r="Y26" s="39" t="e">
        <f t="shared" si="33"/>
        <v>#DIV/0!</v>
      </c>
      <c r="Z26" s="39" t="e">
        <f t="shared" si="33"/>
        <v>#DIV/0!</v>
      </c>
      <c r="AA26" s="39" t="e">
        <f t="shared" si="33"/>
        <v>#DIV/0!</v>
      </c>
      <c r="AB26" s="39" t="e">
        <f t="shared" si="33"/>
        <v>#DIV/0!</v>
      </c>
      <c r="AC26" s="39" t="e">
        <f t="shared" si="33"/>
        <v>#DIV/0!</v>
      </c>
      <c r="AD26" s="39" t="e">
        <f t="shared" si="33"/>
        <v>#DIV/0!</v>
      </c>
      <c r="AE26" s="39" t="e">
        <f t="shared" si="33"/>
        <v>#DIV/0!</v>
      </c>
      <c r="AF26" s="39" t="e">
        <f t="shared" si="33"/>
        <v>#DIV/0!</v>
      </c>
    </row>
    <row r="27" spans="1:32" s="19" customFormat="1">
      <c r="A27" s="41"/>
      <c r="C27" s="39"/>
      <c r="D27" s="39"/>
      <c r="E27" s="39"/>
      <c r="F27" s="39"/>
      <c r="G27" s="39"/>
      <c r="H27" s="39"/>
      <c r="I27" s="39"/>
      <c r="J27" s="39"/>
      <c r="K27" s="39"/>
      <c r="L27" s="39"/>
      <c r="M27" s="39"/>
      <c r="N27" s="39"/>
    </row>
    <row r="28" spans="1:32" s="19" customFormat="1">
      <c r="A28" s="41" t="s">
        <v>386</v>
      </c>
      <c r="C28" s="39" t="e">
        <f>SUM(C26:Q26)</f>
        <v>#DIV/0!</v>
      </c>
      <c r="D28" s="39"/>
      <c r="E28" s="39"/>
      <c r="F28" s="39"/>
      <c r="G28" s="39"/>
      <c r="H28" s="39"/>
      <c r="I28" s="39"/>
      <c r="J28" s="39"/>
      <c r="K28" s="39"/>
      <c r="L28" s="39"/>
      <c r="M28" s="39"/>
      <c r="N28" s="39"/>
    </row>
    <row r="29" spans="1:32" s="19" customFormat="1">
      <c r="C29" s="39"/>
      <c r="D29" s="39"/>
      <c r="E29" s="39"/>
      <c r="F29" s="39"/>
      <c r="G29" s="39"/>
      <c r="H29" s="39"/>
      <c r="I29" s="39"/>
      <c r="J29" s="39"/>
      <c r="K29" s="39"/>
      <c r="L29" s="39"/>
      <c r="M29" s="39"/>
      <c r="N29" s="39"/>
    </row>
    <row r="31" spans="1:32">
      <c r="A31" s="11"/>
      <c r="B31" s="530"/>
      <c r="C31" s="13"/>
      <c r="D31" s="530"/>
    </row>
    <row r="33" spans="1:1">
      <c r="A33" s="24"/>
    </row>
    <row r="34" spans="1:1">
      <c r="A34" s="396"/>
    </row>
    <row r="35" spans="1:1">
      <c r="A35" s="396"/>
    </row>
  </sheetData>
  <customSheetViews>
    <customSheetView guid="{25C4E7E7-1006-4A2D-BC83-AEE4ADF8A914}" scale="75" showPageBreaks="1" fitToPage="1" showRuler="0" topLeftCell="A10">
      <selection activeCell="H29" sqref="H29"/>
      <pageMargins left="0" right="0" top="0" bottom="0" header="0" footer="0"/>
      <pageSetup scale="51" orientation="landscape" r:id="rId1"/>
      <headerFooter alignWithMargins="0"/>
    </customSheetView>
    <customSheetView guid="{28F81D13-D146-4D67-8981-BA5D7A496326}" showPageBreaks="1" fitToPage="1" showRuler="0" topLeftCell="K6">
      <selection activeCell="O6" sqref="O6"/>
      <pageMargins left="0" right="0" top="0" bottom="0" header="0" footer="0"/>
      <pageSetup scale="50" orientation="landscape" horizontalDpi="1200" verticalDpi="1200" r:id="rId2"/>
      <headerFooter alignWithMargins="0"/>
    </customSheetView>
    <customSheetView guid="{AEA5979F-5357-4ED6-A6CA-1BB80F5C7A74}" showPageBreaks="1" fitToPage="1" showRuler="0">
      <selection activeCell="A5" sqref="A5"/>
      <pageMargins left="0" right="0" top="0" bottom="0" header="0" footer="0"/>
      <pageSetup scale="61" orientation="landscape" horizontalDpi="1200" verticalDpi="1200" r:id="rId3"/>
      <headerFooter alignWithMargins="0"/>
    </customSheetView>
    <customSheetView guid="{EB776EFC-3589-4DB5-BEAF-1E83D9703F9E}" fitToPage="1" showRuler="0" topLeftCell="A14">
      <selection activeCell="B28" sqref="B28"/>
      <pageMargins left="0" right="0" top="0" bottom="0" header="0" footer="0"/>
      <pageSetup scale="64" orientation="landscape" horizontalDpi="1200" verticalDpi="1200" r:id="rId4"/>
      <headerFooter alignWithMargins="0"/>
    </customSheetView>
    <customSheetView guid="{FBB4BF8E-8A9F-4E98-A6F9-5F9BF4C55C67}" showPageBreaks="1" fitToPage="1" showRuler="0" topLeftCell="A11">
      <pageMargins left="0" right="0" top="0" bottom="0" header="0" footer="0"/>
      <pageSetup scale="61" orientation="landscape" horizontalDpi="1200" verticalDpi="1200" r:id="rId5"/>
      <headerFooter alignWithMargins="0"/>
    </customSheetView>
    <customSheetView guid="{6EF643BE-69F3-424E-8A44-3890161370D4}" fitToPage="1" showRuler="0" topLeftCell="J1">
      <selection activeCell="N4" sqref="N4"/>
      <pageMargins left="0" right="0" top="0" bottom="0" header="0" footer="0"/>
      <pageSetup scale="61" orientation="landscape" horizontalDpi="1200" verticalDpi="1200" r:id="rId6"/>
      <headerFooter alignWithMargins="0"/>
    </customSheetView>
    <customSheetView guid="{1ECE83C7-A3CE-4F97-BFD3-498FF783C0D9}" scale="75" showPageBreaks="1" fitToPage="1" showRuler="0">
      <selection activeCell="H29" sqref="H29"/>
      <pageMargins left="0" right="0" top="0" bottom="0" header="0" footer="0"/>
      <pageSetup scale="51" orientation="landscape" r:id="rId7"/>
      <headerFooter alignWithMargins="0"/>
    </customSheetView>
    <customSheetView guid="{560D4AFA-61E5-46C3-B0CD-D0EB3053A033}" scale="75" showPageBreaks="1" fitToPage="1" showRuler="0">
      <selection activeCell="C9" sqref="C9"/>
      <pageMargins left="0" right="0" top="0" bottom="0" header="0" footer="0"/>
      <pageSetup scale="51" orientation="landscape" r:id="rId8"/>
      <headerFooter alignWithMargins="0"/>
    </customSheetView>
  </customSheetViews>
  <phoneticPr fontId="0" type="noConversion"/>
  <pageMargins left="0.25" right="0.25" top="0.75" bottom="0.75" header="0.3" footer="0.3"/>
  <pageSetup scale="39" firstPageNumber="212" fitToWidth="2" orientation="landscape" useFirstPageNumber="1" r:id="rId9"/>
  <headerFooter alignWithMargins="0"/>
  <colBreaks count="1" manualBreakCount="1">
    <brk id="17" max="1048575" man="1"/>
  </colBreaks>
  <ignoredErrors>
    <ignoredError sqref="C24:Q24 C26:Q26 C28"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6"/>
  <sheetViews>
    <sheetView topLeftCell="A13" zoomScaleNormal="100" workbookViewId="0"/>
  </sheetViews>
  <sheetFormatPr baseColWidth="10" defaultColWidth="7.140625" defaultRowHeight="13"/>
  <cols>
    <col min="1" max="1" width="3.42578125" style="137" customWidth="1"/>
    <col min="2" max="2" width="18.5703125" style="133" bestFit="1" customWidth="1"/>
    <col min="3" max="3" width="17.7109375" style="133" customWidth="1"/>
    <col min="4" max="4" width="16.7109375" style="139" customWidth="1"/>
    <col min="5" max="16384" width="7.140625" style="133"/>
  </cols>
  <sheetData>
    <row r="1" spans="1:6" s="25" customFormat="1" ht="16.5" customHeight="1">
      <c r="A1" s="1" t="str">
        <f>'Sources and Use'!A1</f>
        <v xml:space="preserve">Project Name: </v>
      </c>
      <c r="B1" s="51"/>
      <c r="C1" s="17"/>
      <c r="D1" s="130" t="str">
        <f>'Sources and Use'!C2</f>
        <v>Units:</v>
      </c>
      <c r="E1" s="1">
        <f>'Units &amp; Income'!C23</f>
        <v>0</v>
      </c>
      <c r="F1" s="18"/>
    </row>
    <row r="2" spans="1:6" s="25" customFormat="1" ht="16.5" customHeight="1">
      <c r="A2" s="1" t="str">
        <f>'Sources and Use'!A2</f>
        <v>Site:</v>
      </c>
      <c r="B2" s="51"/>
      <c r="C2" s="17"/>
      <c r="D2" s="351"/>
      <c r="E2" s="1"/>
      <c r="F2" s="18"/>
    </row>
    <row r="4" spans="1:6" s="135" customFormat="1">
      <c r="A4" s="134" t="s">
        <v>387</v>
      </c>
      <c r="D4" s="136" t="s">
        <v>388</v>
      </c>
    </row>
    <row r="6" spans="1:6" ht="20.25" customHeight="1">
      <c r="A6" s="137">
        <v>1</v>
      </c>
      <c r="B6" s="133" t="s">
        <v>389</v>
      </c>
      <c r="D6" s="138"/>
    </row>
    <row r="7" spans="1:6" ht="20.25" customHeight="1">
      <c r="A7" s="137">
        <v>2</v>
      </c>
      <c r="B7" s="133" t="s">
        <v>390</v>
      </c>
      <c r="D7" s="138"/>
    </row>
    <row r="8" spans="1:6" ht="20.25" customHeight="1">
      <c r="A8" s="137">
        <v>3</v>
      </c>
      <c r="B8" s="133" t="s">
        <v>391</v>
      </c>
      <c r="D8" s="138"/>
    </row>
    <row r="9" spans="1:6" ht="20.25" customHeight="1">
      <c r="A9" s="137">
        <v>4</v>
      </c>
      <c r="B9" s="133" t="s">
        <v>392</v>
      </c>
      <c r="D9" s="138"/>
    </row>
    <row r="10" spans="1:6" ht="20.25" customHeight="1">
      <c r="A10" s="137">
        <v>5</v>
      </c>
      <c r="B10" s="133" t="s">
        <v>393</v>
      </c>
      <c r="D10" s="138"/>
    </row>
    <row r="11" spans="1:6" ht="20.25" customHeight="1">
      <c r="A11" s="137" t="s">
        <v>394</v>
      </c>
      <c r="B11" s="133" t="s">
        <v>395</v>
      </c>
      <c r="D11" s="138"/>
    </row>
    <row r="12" spans="1:6" ht="20.25" customHeight="1">
      <c r="A12" s="137" t="s">
        <v>396</v>
      </c>
      <c r="B12" s="133" t="s">
        <v>397</v>
      </c>
      <c r="D12" s="138"/>
    </row>
    <row r="13" spans="1:6" ht="20.25" customHeight="1">
      <c r="A13" s="137">
        <v>7</v>
      </c>
      <c r="B13" s="133" t="s">
        <v>398</v>
      </c>
      <c r="D13" s="138"/>
    </row>
    <row r="14" spans="1:6" ht="20.25" customHeight="1">
      <c r="A14" s="137">
        <v>8</v>
      </c>
      <c r="B14" s="133" t="s">
        <v>399</v>
      </c>
      <c r="D14" s="138"/>
    </row>
    <row r="15" spans="1:6" ht="20.25" customHeight="1">
      <c r="A15" s="137">
        <v>9</v>
      </c>
      <c r="B15" s="133" t="s">
        <v>400</v>
      </c>
      <c r="D15" s="138"/>
    </row>
    <row r="16" spans="1:6" ht="20.25" customHeight="1">
      <c r="A16" s="137">
        <v>10</v>
      </c>
      <c r="B16" s="133" t="s">
        <v>401</v>
      </c>
      <c r="D16" s="138"/>
    </row>
    <row r="17" spans="1:4" ht="20.25" customHeight="1">
      <c r="A17" s="137">
        <v>11</v>
      </c>
      <c r="B17" s="133" t="s">
        <v>402</v>
      </c>
      <c r="D17" s="138"/>
    </row>
    <row r="18" spans="1:4" ht="20.25" customHeight="1">
      <c r="A18" s="137">
        <v>12</v>
      </c>
      <c r="B18" s="133" t="s">
        <v>403</v>
      </c>
      <c r="D18" s="138"/>
    </row>
    <row r="19" spans="1:4" ht="20.25" customHeight="1">
      <c r="A19" s="137">
        <v>13</v>
      </c>
      <c r="B19" s="133" t="s">
        <v>404</v>
      </c>
      <c r="D19" s="138"/>
    </row>
    <row r="20" spans="1:4" ht="20.25" customHeight="1">
      <c r="A20" s="137">
        <v>14</v>
      </c>
      <c r="B20" s="133" t="s">
        <v>405</v>
      </c>
      <c r="D20" s="138"/>
    </row>
    <row r="21" spans="1:4" ht="20.25" customHeight="1">
      <c r="A21" s="137">
        <v>15</v>
      </c>
      <c r="B21" s="133" t="s">
        <v>406</v>
      </c>
      <c r="D21" s="138"/>
    </row>
    <row r="22" spans="1:4" ht="20.25" customHeight="1">
      <c r="A22" s="137">
        <v>16</v>
      </c>
      <c r="B22" s="133" t="s">
        <v>407</v>
      </c>
      <c r="D22" s="138"/>
    </row>
    <row r="23" spans="1:4" ht="20.25" customHeight="1">
      <c r="A23" s="137" t="s">
        <v>408</v>
      </c>
      <c r="B23" s="133" t="s">
        <v>252</v>
      </c>
      <c r="D23" s="138"/>
    </row>
    <row r="24" spans="1:4" ht="20.25" customHeight="1">
      <c r="A24" s="137" t="s">
        <v>409</v>
      </c>
      <c r="B24" s="133" t="s">
        <v>410</v>
      </c>
      <c r="D24" s="138"/>
    </row>
    <row r="25" spans="1:4" ht="20.25" customHeight="1">
      <c r="A25" s="137">
        <v>18</v>
      </c>
      <c r="B25" s="133" t="s">
        <v>411</v>
      </c>
      <c r="D25" s="138"/>
    </row>
    <row r="26" spans="1:4" ht="20.25" customHeight="1">
      <c r="A26" s="137">
        <v>19</v>
      </c>
      <c r="B26" s="133" t="s">
        <v>412</v>
      </c>
      <c r="D26" s="138"/>
    </row>
    <row r="27" spans="1:4" ht="20.25" customHeight="1">
      <c r="A27" s="137">
        <v>20</v>
      </c>
      <c r="B27" s="133" t="s">
        <v>413</v>
      </c>
      <c r="D27" s="138"/>
    </row>
    <row r="28" spans="1:4" ht="20.25" customHeight="1">
      <c r="A28" s="137">
        <v>21</v>
      </c>
      <c r="B28" s="133" t="s">
        <v>414</v>
      </c>
      <c r="D28" s="138"/>
    </row>
    <row r="29" spans="1:4" ht="20.25" customHeight="1">
      <c r="A29" s="137">
        <v>22</v>
      </c>
      <c r="B29" s="133" t="s">
        <v>415</v>
      </c>
      <c r="D29" s="138"/>
    </row>
    <row r="30" spans="1:4" ht="20.25" customHeight="1">
      <c r="A30" s="137">
        <v>23</v>
      </c>
      <c r="B30" s="133" t="s">
        <v>415</v>
      </c>
      <c r="D30" s="138"/>
    </row>
    <row r="31" spans="1:4" ht="20.25" customHeight="1">
      <c r="A31" s="137">
        <v>24</v>
      </c>
      <c r="B31" s="133" t="s">
        <v>415</v>
      </c>
      <c r="D31" s="138"/>
    </row>
    <row r="32" spans="1:4" s="135" customFormat="1" ht="20.25" customHeight="1">
      <c r="A32" s="134">
        <v>25</v>
      </c>
      <c r="B32" s="135" t="s">
        <v>416</v>
      </c>
      <c r="D32" s="138">
        <f>SUM(D6:D31)</f>
        <v>0</v>
      </c>
    </row>
    <row r="33" spans="1:4" ht="20.25" customHeight="1">
      <c r="A33" s="137">
        <v>26</v>
      </c>
      <c r="B33" s="133" t="s">
        <v>417</v>
      </c>
      <c r="D33" s="138"/>
    </row>
    <row r="34" spans="1:4" ht="20.25" customHeight="1">
      <c r="A34" s="137">
        <v>27</v>
      </c>
      <c r="B34" s="133" t="s">
        <v>418</v>
      </c>
      <c r="D34" s="138"/>
    </row>
    <row r="35" spans="1:4" ht="20.25" customHeight="1">
      <c r="A35" s="137">
        <v>28</v>
      </c>
      <c r="B35" s="133" t="s">
        <v>419</v>
      </c>
      <c r="D35" s="138"/>
    </row>
    <row r="36" spans="1:4" s="135" customFormat="1" ht="20.25" customHeight="1">
      <c r="A36" s="135">
        <v>29</v>
      </c>
      <c r="B36" s="135" t="s">
        <v>420</v>
      </c>
      <c r="D36" s="138">
        <f>SUM(D32:D35)</f>
        <v>0</v>
      </c>
    </row>
  </sheetData>
  <phoneticPr fontId="29" type="noConversion"/>
  <printOptions horizontalCentered="1"/>
  <pageMargins left="0.75" right="0.75" top="1" bottom="1" header="0.5" footer="0.5"/>
  <pageSetup scale="94" firstPageNumber="2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FE649AC536A145A9D0B3571A2198F2" ma:contentTypeVersion="16" ma:contentTypeDescription="Create a new document." ma:contentTypeScope="" ma:versionID="670b6848005a13ac5360a4b97dbe493b">
  <xsd:schema xmlns:xsd="http://www.w3.org/2001/XMLSchema" xmlns:xs="http://www.w3.org/2001/XMLSchema" xmlns:p="http://schemas.microsoft.com/office/2006/metadata/properties" xmlns:ns2="ce6407ea-3f2c-4b1f-9bb3-8b6e67c68c17" xmlns:ns3="a87c9a78-4c74-453b-87e3-f984359c2a8d" targetNamespace="http://schemas.microsoft.com/office/2006/metadata/properties" ma:root="true" ma:fieldsID="755c7be8d5ba6d412c3fd3fff54d24c8" ns2:_="" ns3:_="">
    <xsd:import namespace="ce6407ea-3f2c-4b1f-9bb3-8b6e67c68c17"/>
    <xsd:import namespace="a87c9a78-4c74-453b-87e3-f984359c2a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Numbe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6407ea-3f2c-4b1f-9bb3-8b6e67c68c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c9a78-4c74-453b-87e3-f984359c2a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1d04ade-61c1-49cd-9efb-d12455152372}" ma:internalName="TaxCatchAll" ma:showField="CatchAllData" ma:web="a87c9a78-4c74-453b-87e3-f984359c2a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umber xmlns="ce6407ea-3f2c-4b1f-9bb3-8b6e67c68c17" xsi:nil="true"/>
    <TaxCatchAll xmlns="a87c9a78-4c74-453b-87e3-f984359c2a8d" xsi:nil="true"/>
    <lcf76f155ced4ddcb4097134ff3c332f xmlns="ce6407ea-3f2c-4b1f-9bb3-8b6e67c68c1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45170C-257B-4D5B-8A32-1771C87C3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6407ea-3f2c-4b1f-9bb3-8b6e67c68c17"/>
    <ds:schemaRef ds:uri="a87c9a78-4c74-453b-87e3-f984359c2a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6492CD-5BB3-45B1-A0BE-CBA1F9482EB1}">
  <ds:schemaRefs>
    <ds:schemaRef ds:uri="a87c9a78-4c74-453b-87e3-f984359c2a8d"/>
    <ds:schemaRef ds:uri="http://purl.org/dc/dcmitype/"/>
    <ds:schemaRef ds:uri="http://schemas.microsoft.com/office/2006/metadata/properties"/>
    <ds:schemaRef ds:uri="http://schemas.microsoft.com/office/2006/documentManagement/types"/>
    <ds:schemaRef ds:uri="http://purl.org/dc/elements/1.1/"/>
    <ds:schemaRef ds:uri="ce6407ea-3f2c-4b1f-9bb3-8b6e67c68c17"/>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FB997E9-6AAE-444E-8245-74595B884F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Instructions</vt:lpstr>
      <vt:lpstr>Sources and Use</vt:lpstr>
      <vt:lpstr>Devel. Bud</vt:lpstr>
      <vt:lpstr>Cons Int &amp; Neg Arb</vt:lpstr>
      <vt:lpstr>Units &amp; Income</vt:lpstr>
      <vt:lpstr>M and O</vt:lpstr>
      <vt:lpstr>Mort</vt:lpstr>
      <vt:lpstr>Cash Flow</vt:lpstr>
      <vt:lpstr>Trade Pmt</vt:lpstr>
      <vt:lpstr>Pro Forma Summary</vt:lpstr>
      <vt:lpstr>Fl Area Summary</vt:lpstr>
      <vt:lpstr>AMI &amp; Rent</vt:lpstr>
      <vt:lpstr>Project Summary</vt:lpstr>
      <vt:lpstr>DEVFEE</vt:lpstr>
      <vt:lpstr>EQUITY</vt:lpstr>
      <vt:lpstr>Expenses</vt:lpstr>
      <vt:lpstr>FIRST</vt:lpstr>
      <vt:lpstr>LAUNDRY</vt:lpstr>
      <vt:lpstr>NOI</vt:lpstr>
      <vt:lpstr>'AMI &amp; Rent'!Print_Area</vt:lpstr>
      <vt:lpstr>'Cons Int &amp; Neg Arb'!Print_Area</vt:lpstr>
      <vt:lpstr>'Devel. Bud'!Print_Area</vt:lpstr>
      <vt:lpstr>'M and O'!Print_Area</vt:lpstr>
      <vt:lpstr>Mort!Print_Area</vt:lpstr>
      <vt:lpstr>'Project Summary'!Print_Area</vt:lpstr>
      <vt:lpstr>'Sources and Use'!Print_Area</vt:lpstr>
      <vt:lpstr>'Units &amp; Income'!Print_Area</vt:lpstr>
      <vt:lpstr>'Cash Flow'!Print_Titles</vt:lpstr>
      <vt:lpstr>ROOMS</vt:lpstr>
      <vt:lpstr>SECOND</vt:lpstr>
      <vt:lpstr>Second_Mortgage</vt:lpstr>
      <vt:lpstr>TOTALLOAN</vt:lpstr>
      <vt:lpstr>UNITS</vt:lpstr>
    </vt:vector>
  </TitlesOfParts>
  <Manager/>
  <Company>NYC Housing Development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mschatz</dc:creator>
  <cp:keywords/>
  <dc:description/>
  <cp:lastModifiedBy>Alex Rawding</cp:lastModifiedBy>
  <cp:revision/>
  <dcterms:created xsi:type="dcterms:W3CDTF">1998-09-24T19:31:31Z</dcterms:created>
  <dcterms:modified xsi:type="dcterms:W3CDTF">2023-12-19T22:43:15Z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0x01010066FE649AC536A145A9D0B3571A2198F2</vt:lpwstr>
  </property>
  <property fmtid="{D5CDD505-2E9C-101B-9397-08002B2CF9AE}" pid="3" name="MediaServiceImageTags">
    <vt:lpwstr/>
  </property>
</Properties>
</file>