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workbookProtection workbookPassword="885B" lockStructure="1"/>
  <bookViews>
    <workbookView xWindow="75" yWindow="255" windowWidth="15480" windowHeight="11010" tabRatio="833"/>
  </bookViews>
  <sheets>
    <sheet name="RENT_CALC" sheetId="7" r:id="rId1"/>
    <sheet name="PIOC_FACTORS" sheetId="3" state="hidden" r:id="rId2"/>
    <sheet name="Construction_Cost_Values" sheetId="9" state="hidden" r:id="rId3"/>
    <sheet name="Construction Cost Backing Data" sheetId="10" state="hidden" r:id="rId4"/>
    <sheet name="Dodge vs RS" sheetId="11" state="hidden" r:id="rId5"/>
  </sheets>
  <definedNames>
    <definedName name="_xlnm.Print_Area" localSheetId="3">'Construction Cost Backing Data'!$A$1:$G$212</definedName>
    <definedName name="_xlnm.Print_Area" localSheetId="2">Construction_Cost_Values!$A$1:$G$102</definedName>
    <definedName name="_xlnm.Print_Area" localSheetId="1">PIOC_FACTORS!$A$1:$AD$18</definedName>
    <definedName name="_xlnm.Print_Area" localSheetId="0">RENT_CALC!$A$1:$J$287</definedName>
    <definedName name="_xlnm.Print_Titles" localSheetId="2">Construction_Cost_Values!$1:$1</definedName>
    <definedName name="_xlnm.Print_Titles" localSheetId="1">PIOC_FACTORS!$1:$1</definedName>
    <definedName name="_xlnm.Print_Titles" localSheetId="0">RENT_CALC!#REF!</definedName>
  </definedNames>
  <calcPr calcId="145621"/>
  <customWorkbookViews>
    <customWorkbookView name="NYC - Personal View" guid="{B9D65FB4-15BC-4D34-889C-60A882C02814}" mergeInterval="0" personalView="1" maximized="1" windowWidth="1020" windowHeight="570" activeSheetId="1"/>
  </customWorkbookViews>
</workbook>
</file>

<file path=xl/calcChain.xml><?xml version="1.0" encoding="utf-8"?>
<calcChain xmlns="http://schemas.openxmlformats.org/spreadsheetml/2006/main">
  <c r="I29" i="7" l="1"/>
  <c r="E13" i="7" l="1"/>
  <c r="AB268" i="7"/>
  <c r="E18" i="7"/>
  <c r="M27" i="7"/>
  <c r="N27" i="7"/>
  <c r="O27" i="7"/>
  <c r="P27" i="7"/>
  <c r="L27" i="7" s="1"/>
  <c r="M28" i="7"/>
  <c r="N28" i="7"/>
  <c r="O28" i="7"/>
  <c r="P28" i="7"/>
  <c r="L28" i="7" s="1"/>
  <c r="G28" i="7" s="1"/>
  <c r="I28" i="7" s="1"/>
  <c r="M29" i="7"/>
  <c r="N29" i="7"/>
  <c r="O29" i="7"/>
  <c r="P29" i="7"/>
  <c r="L29" i="7" s="1"/>
  <c r="M30" i="7"/>
  <c r="N30" i="7"/>
  <c r="O30" i="7"/>
  <c r="P30" i="7"/>
  <c r="L30" i="7" s="1"/>
  <c r="M31" i="7"/>
  <c r="N31" i="7"/>
  <c r="O31" i="7"/>
  <c r="P31" i="7"/>
  <c r="L31" i="7" s="1"/>
  <c r="G31" i="7" s="1"/>
  <c r="I31" i="7" s="1"/>
  <c r="M32" i="7"/>
  <c r="N32" i="7"/>
  <c r="O32" i="7"/>
  <c r="P32" i="7"/>
  <c r="L32" i="7" s="1"/>
  <c r="G32" i="7" s="1"/>
  <c r="M33" i="7"/>
  <c r="N33" i="7"/>
  <c r="O33" i="7"/>
  <c r="P33" i="7"/>
  <c r="L33" i="7" s="1"/>
  <c r="G33" i="7" s="1"/>
  <c r="I33" i="7" s="1"/>
  <c r="M34" i="7"/>
  <c r="N34" i="7"/>
  <c r="O34" i="7"/>
  <c r="P34" i="7"/>
  <c r="L34" i="7" s="1"/>
  <c r="M35" i="7"/>
  <c r="N35" i="7"/>
  <c r="O35" i="7"/>
  <c r="P35" i="7"/>
  <c r="E38" i="7"/>
  <c r="C46" i="7"/>
  <c r="G46" i="7"/>
  <c r="C47" i="7"/>
  <c r="G47" i="7"/>
  <c r="P47" i="7"/>
  <c r="C48" i="7"/>
  <c r="G48" i="7"/>
  <c r="C49" i="7"/>
  <c r="G49" i="7"/>
  <c r="C50" i="7"/>
  <c r="G50" i="7"/>
  <c r="C51" i="7"/>
  <c r="G51" i="7"/>
  <c r="C52" i="7"/>
  <c r="G52" i="7"/>
  <c r="C53" i="7"/>
  <c r="G53" i="7"/>
  <c r="C54" i="7"/>
  <c r="G54" i="7"/>
  <c r="C55" i="7"/>
  <c r="G55" i="7"/>
  <c r="C56" i="7"/>
  <c r="G56" i="7"/>
  <c r="C57" i="7"/>
  <c r="G57" i="7"/>
  <c r="C58" i="7"/>
  <c r="G58" i="7"/>
  <c r="C59" i="7"/>
  <c r="G59" i="7"/>
  <c r="C60" i="7"/>
  <c r="G60" i="7"/>
  <c r="C61" i="7"/>
  <c r="G61" i="7"/>
  <c r="C62" i="7"/>
  <c r="G62" i="7"/>
  <c r="C63" i="7"/>
  <c r="G63" i="7"/>
  <c r="C64" i="7"/>
  <c r="G64" i="7"/>
  <c r="C65" i="7"/>
  <c r="G65" i="7"/>
  <c r="C66" i="7"/>
  <c r="G66" i="7"/>
  <c r="C67" i="7"/>
  <c r="G67" i="7"/>
  <c r="C68" i="7"/>
  <c r="G68" i="7"/>
  <c r="C69" i="7"/>
  <c r="G69" i="7"/>
  <c r="C70" i="7"/>
  <c r="G70" i="7"/>
  <c r="C71" i="7"/>
  <c r="G71" i="7"/>
  <c r="C72" i="7"/>
  <c r="G72" i="7"/>
  <c r="C73" i="7"/>
  <c r="G73" i="7"/>
  <c r="C74" i="7"/>
  <c r="G74" i="7"/>
  <c r="C75" i="7"/>
  <c r="G75" i="7"/>
  <c r="C76" i="7"/>
  <c r="G76" i="7"/>
  <c r="C77" i="7"/>
  <c r="G77" i="7"/>
  <c r="C78" i="7"/>
  <c r="G78" i="7"/>
  <c r="C79" i="7"/>
  <c r="G79" i="7"/>
  <c r="C80" i="7"/>
  <c r="G80" i="7"/>
  <c r="C81" i="7"/>
  <c r="G81" i="7"/>
  <c r="C82" i="7"/>
  <c r="G82" i="7"/>
  <c r="C83" i="7"/>
  <c r="G83" i="7"/>
  <c r="C84" i="7"/>
  <c r="G84" i="7"/>
  <c r="C85" i="7"/>
  <c r="G85" i="7"/>
  <c r="C86" i="7"/>
  <c r="G86" i="7"/>
  <c r="C87" i="7"/>
  <c r="G87" i="7"/>
  <c r="C88" i="7"/>
  <c r="G88" i="7"/>
  <c r="C89" i="7"/>
  <c r="G89" i="7"/>
  <c r="C90" i="7"/>
  <c r="G90" i="7"/>
  <c r="C91" i="7"/>
  <c r="G91" i="7"/>
  <c r="C92" i="7"/>
  <c r="G92" i="7"/>
  <c r="C93" i="7"/>
  <c r="G93" i="7"/>
  <c r="C94" i="7"/>
  <c r="G94" i="7"/>
  <c r="C95" i="7"/>
  <c r="G95" i="7"/>
  <c r="C96" i="7"/>
  <c r="G96" i="7"/>
  <c r="C97" i="7"/>
  <c r="G97" i="7"/>
  <c r="C98" i="7"/>
  <c r="G98" i="7"/>
  <c r="C99" i="7"/>
  <c r="G99" i="7"/>
  <c r="C100" i="7"/>
  <c r="G100" i="7"/>
  <c r="C101" i="7"/>
  <c r="G101" i="7"/>
  <c r="C102" i="7"/>
  <c r="G102" i="7"/>
  <c r="C103" i="7"/>
  <c r="G103" i="7"/>
  <c r="C104" i="7"/>
  <c r="G104" i="7"/>
  <c r="C105" i="7"/>
  <c r="G105" i="7"/>
  <c r="C106" i="7"/>
  <c r="G106" i="7"/>
  <c r="C107" i="7"/>
  <c r="G107" i="7"/>
  <c r="C108" i="7"/>
  <c r="G108" i="7"/>
  <c r="C109" i="7"/>
  <c r="G109" i="7"/>
  <c r="C110" i="7"/>
  <c r="G110" i="7"/>
  <c r="C111" i="7"/>
  <c r="G111" i="7"/>
  <c r="C112" i="7"/>
  <c r="G112" i="7"/>
  <c r="C113" i="7"/>
  <c r="G113" i="7"/>
  <c r="C114" i="7"/>
  <c r="G114" i="7"/>
  <c r="C115" i="7"/>
  <c r="G115" i="7"/>
  <c r="C116" i="7"/>
  <c r="G116" i="7"/>
  <c r="C117" i="7"/>
  <c r="G117" i="7"/>
  <c r="C118" i="7"/>
  <c r="G118" i="7"/>
  <c r="C119" i="7"/>
  <c r="G119" i="7"/>
  <c r="C120" i="7"/>
  <c r="G120" i="7"/>
  <c r="C121" i="7"/>
  <c r="G121" i="7"/>
  <c r="C122" i="7"/>
  <c r="G122" i="7"/>
  <c r="C123" i="7"/>
  <c r="G123" i="7"/>
  <c r="C124" i="7"/>
  <c r="G124" i="7"/>
  <c r="C125" i="7"/>
  <c r="G125" i="7"/>
  <c r="C126" i="7"/>
  <c r="G126" i="7"/>
  <c r="C127" i="7"/>
  <c r="G127" i="7"/>
  <c r="C128" i="7"/>
  <c r="G128" i="7"/>
  <c r="C129" i="7"/>
  <c r="G129" i="7"/>
  <c r="C130" i="7"/>
  <c r="G130" i="7"/>
  <c r="C131" i="7"/>
  <c r="G131" i="7"/>
  <c r="C132" i="7"/>
  <c r="G132" i="7"/>
  <c r="C133" i="7"/>
  <c r="G133" i="7"/>
  <c r="C134" i="7"/>
  <c r="G134" i="7"/>
  <c r="C135" i="7"/>
  <c r="G135" i="7"/>
  <c r="C136" i="7"/>
  <c r="G136" i="7"/>
  <c r="C137" i="7"/>
  <c r="G137" i="7"/>
  <c r="C138" i="7"/>
  <c r="G138" i="7"/>
  <c r="C139" i="7"/>
  <c r="G139" i="7"/>
  <c r="C140" i="7"/>
  <c r="G140" i="7"/>
  <c r="C141" i="7"/>
  <c r="G141" i="7"/>
  <c r="C142" i="7"/>
  <c r="G142" i="7"/>
  <c r="C143" i="7"/>
  <c r="G143" i="7"/>
  <c r="C144" i="7"/>
  <c r="G144" i="7"/>
  <c r="F152" i="7"/>
  <c r="J152" i="7"/>
  <c r="F153" i="7"/>
  <c r="J153" i="7"/>
  <c r="F154" i="7"/>
  <c r="J154" i="7"/>
  <c r="F155" i="7"/>
  <c r="J155" i="7"/>
  <c r="F156" i="7"/>
  <c r="J156" i="7"/>
  <c r="F157" i="7"/>
  <c r="J157" i="7"/>
  <c r="F158" i="7"/>
  <c r="J158" i="7"/>
  <c r="F159" i="7"/>
  <c r="J159" i="7"/>
  <c r="F160" i="7"/>
  <c r="J160" i="7"/>
  <c r="F161" i="7"/>
  <c r="J161" i="7"/>
  <c r="F162" i="7"/>
  <c r="J162" i="7"/>
  <c r="F163" i="7"/>
  <c r="J163" i="7"/>
  <c r="F164" i="7"/>
  <c r="J164" i="7"/>
  <c r="F165" i="7"/>
  <c r="J165" i="7"/>
  <c r="F166" i="7"/>
  <c r="J166" i="7"/>
  <c r="F167" i="7"/>
  <c r="J167" i="7"/>
  <c r="F168" i="7"/>
  <c r="J168" i="7"/>
  <c r="F169" i="7"/>
  <c r="J169" i="7"/>
  <c r="F170" i="7"/>
  <c r="J170" i="7"/>
  <c r="F171" i="7"/>
  <c r="J171" i="7"/>
  <c r="F172" i="7"/>
  <c r="J172" i="7"/>
  <c r="F173" i="7"/>
  <c r="J173" i="7"/>
  <c r="F174" i="7"/>
  <c r="J174" i="7"/>
  <c r="F175" i="7"/>
  <c r="J175" i="7"/>
  <c r="F176" i="7"/>
  <c r="J176" i="7"/>
  <c r="F177" i="7"/>
  <c r="J177" i="7"/>
  <c r="F178" i="7"/>
  <c r="J178" i="7"/>
  <c r="F179" i="7"/>
  <c r="J179" i="7"/>
  <c r="F180" i="7"/>
  <c r="J180" i="7"/>
  <c r="F181" i="7"/>
  <c r="J181" i="7"/>
  <c r="F182" i="7"/>
  <c r="J182" i="7"/>
  <c r="F183" i="7"/>
  <c r="J183" i="7"/>
  <c r="F184" i="7"/>
  <c r="J184" i="7"/>
  <c r="F185" i="7"/>
  <c r="J185" i="7"/>
  <c r="F186" i="7"/>
  <c r="J186" i="7"/>
  <c r="F187" i="7"/>
  <c r="J187" i="7"/>
  <c r="F188" i="7"/>
  <c r="J188" i="7"/>
  <c r="F189" i="7"/>
  <c r="J189" i="7"/>
  <c r="F190" i="7"/>
  <c r="J190" i="7"/>
  <c r="F191" i="7"/>
  <c r="J191" i="7"/>
  <c r="F192" i="7"/>
  <c r="J192" i="7"/>
  <c r="F193" i="7"/>
  <c r="J193" i="7"/>
  <c r="F194" i="7"/>
  <c r="J194" i="7"/>
  <c r="F195" i="7"/>
  <c r="J195" i="7"/>
  <c r="F196" i="7"/>
  <c r="J196" i="7"/>
  <c r="F197" i="7"/>
  <c r="J197" i="7"/>
  <c r="F198" i="7"/>
  <c r="J198" i="7"/>
  <c r="F199" i="7"/>
  <c r="J199" i="7"/>
  <c r="F200" i="7"/>
  <c r="J200" i="7"/>
  <c r="F201" i="7"/>
  <c r="J201" i="7"/>
  <c r="F202" i="7"/>
  <c r="J202" i="7"/>
  <c r="F203" i="7"/>
  <c r="J203" i="7"/>
  <c r="F204" i="7"/>
  <c r="J204" i="7"/>
  <c r="F205" i="7"/>
  <c r="J205" i="7"/>
  <c r="F206" i="7"/>
  <c r="J206" i="7"/>
  <c r="F207" i="7"/>
  <c r="J207" i="7"/>
  <c r="F208" i="7"/>
  <c r="J208" i="7"/>
  <c r="F209" i="7"/>
  <c r="J209" i="7"/>
  <c r="F210" i="7"/>
  <c r="J210" i="7"/>
  <c r="F211" i="7"/>
  <c r="J211" i="7"/>
  <c r="F212" i="7"/>
  <c r="J212" i="7"/>
  <c r="F213" i="7"/>
  <c r="J213" i="7"/>
  <c r="F214" i="7"/>
  <c r="J214" i="7"/>
  <c r="F215" i="7"/>
  <c r="J215" i="7"/>
  <c r="F216" i="7"/>
  <c r="J216" i="7"/>
  <c r="F217" i="7"/>
  <c r="J217" i="7"/>
  <c r="F218" i="7"/>
  <c r="J218" i="7"/>
  <c r="F219" i="7"/>
  <c r="J219" i="7"/>
  <c r="F220" i="7"/>
  <c r="J220" i="7"/>
  <c r="F221" i="7"/>
  <c r="J221" i="7"/>
  <c r="F222" i="7"/>
  <c r="J222" i="7"/>
  <c r="F223" i="7"/>
  <c r="J223" i="7"/>
  <c r="F224" i="7"/>
  <c r="J224" i="7"/>
  <c r="F225" i="7"/>
  <c r="J225" i="7"/>
  <c r="F226" i="7"/>
  <c r="J226" i="7"/>
  <c r="F227" i="7"/>
  <c r="J227" i="7"/>
  <c r="F228" i="7"/>
  <c r="J228" i="7"/>
  <c r="F229" i="7"/>
  <c r="J229" i="7"/>
  <c r="F230" i="7"/>
  <c r="J230" i="7"/>
  <c r="F231" i="7"/>
  <c r="J231" i="7"/>
  <c r="F232" i="7"/>
  <c r="J232" i="7"/>
  <c r="F233" i="7"/>
  <c r="J233" i="7"/>
  <c r="F234" i="7"/>
  <c r="J234" i="7"/>
  <c r="F235" i="7"/>
  <c r="J235" i="7"/>
  <c r="F236" i="7"/>
  <c r="J236" i="7"/>
  <c r="F237" i="7"/>
  <c r="J237" i="7"/>
  <c r="F238" i="7"/>
  <c r="J238" i="7"/>
  <c r="F239" i="7"/>
  <c r="J239" i="7"/>
  <c r="F240" i="7"/>
  <c r="J240" i="7"/>
  <c r="F241" i="7"/>
  <c r="J241" i="7"/>
  <c r="F242" i="7"/>
  <c r="J242" i="7"/>
  <c r="F243" i="7"/>
  <c r="J243" i="7"/>
  <c r="F244" i="7"/>
  <c r="J244" i="7"/>
  <c r="F245" i="7"/>
  <c r="J245" i="7"/>
  <c r="F246" i="7"/>
  <c r="J246" i="7"/>
  <c r="F247" i="7"/>
  <c r="J247" i="7"/>
  <c r="F248" i="7"/>
  <c r="J248" i="7"/>
  <c r="F249" i="7"/>
  <c r="J249" i="7"/>
  <c r="F250" i="7"/>
  <c r="J250" i="7"/>
  <c r="F251" i="7"/>
  <c r="J251" i="7"/>
  <c r="F252" i="7"/>
  <c r="F258" i="7" s="1"/>
  <c r="F266" i="7"/>
  <c r="Y268" i="7"/>
  <c r="F267" i="7"/>
  <c r="M268" i="7"/>
  <c r="N268" i="7"/>
  <c r="O268" i="7"/>
  <c r="P268" i="7"/>
  <c r="Q268" i="7"/>
  <c r="R268" i="7"/>
  <c r="S268" i="7"/>
  <c r="T268" i="7"/>
  <c r="U268" i="7"/>
  <c r="V268" i="7"/>
  <c r="W268" i="7"/>
  <c r="X268" i="7"/>
  <c r="Z268" i="7"/>
  <c r="AA268" i="7"/>
  <c r="F282" i="7"/>
  <c r="G282" i="7"/>
  <c r="H282" i="7" s="1"/>
  <c r="AL8" i="3"/>
  <c r="AN8" i="3"/>
  <c r="AP8" i="3"/>
  <c r="AR8" i="3" s="1"/>
  <c r="AT8" i="3" s="1"/>
  <c r="AV8" i="3"/>
  <c r="AX8" i="3" s="1"/>
  <c r="AZ8" i="3" s="1"/>
  <c r="D10" i="3"/>
  <c r="F10" i="3"/>
  <c r="H10" i="3"/>
  <c r="J10" i="3"/>
  <c r="L10" i="3"/>
  <c r="N10" i="3"/>
  <c r="P10" i="3"/>
  <c r="R10" i="3"/>
  <c r="T10" i="3"/>
  <c r="V10" i="3"/>
  <c r="X10" i="3"/>
  <c r="Z10" i="3"/>
  <c r="AB10" i="3"/>
  <c r="AC10" i="3"/>
  <c r="C11" i="3"/>
  <c r="M11" i="3"/>
  <c r="W11" i="3"/>
  <c r="AC11" i="3"/>
  <c r="AE11" i="3" s="1"/>
  <c r="AG11" i="3" s="1"/>
  <c r="AI11" i="3" s="1"/>
  <c r="AK11" i="3" s="1"/>
  <c r="AM11" i="3" s="1"/>
  <c r="AO11" i="3"/>
  <c r="AQ11" i="3" s="1"/>
  <c r="AS11" i="3"/>
  <c r="AU11" i="3" s="1"/>
  <c r="D12" i="3"/>
  <c r="F12" i="3"/>
  <c r="H12" i="3"/>
  <c r="J12" i="3"/>
  <c r="L12" i="3"/>
  <c r="N12" i="3"/>
  <c r="P12" i="3"/>
  <c r="R12" i="3"/>
  <c r="T12" i="3"/>
  <c r="V12" i="3"/>
  <c r="X12" i="3"/>
  <c r="Z12" i="3"/>
  <c r="AB12" i="3"/>
  <c r="AC12" i="3"/>
  <c r="D13" i="3"/>
  <c r="F13" i="3"/>
  <c r="H13" i="3"/>
  <c r="J13" i="3"/>
  <c r="L13" i="3"/>
  <c r="N13" i="3"/>
  <c r="P13" i="3"/>
  <c r="R13" i="3"/>
  <c r="T13" i="3"/>
  <c r="V13" i="3"/>
  <c r="X13" i="3"/>
  <c r="Z13" i="3"/>
  <c r="AB13" i="3"/>
  <c r="AC13" i="3"/>
  <c r="AD13" i="3"/>
  <c r="AE13" i="3"/>
  <c r="D14" i="3"/>
  <c r="F14" i="3"/>
  <c r="H14" i="3"/>
  <c r="J14" i="3"/>
  <c r="L14" i="3"/>
  <c r="N14" i="3"/>
  <c r="P14" i="3"/>
  <c r="R14" i="3"/>
  <c r="T14" i="3"/>
  <c r="V14" i="3"/>
  <c r="W14" i="3"/>
  <c r="AC14" i="3"/>
  <c r="AE14" i="3"/>
  <c r="AG14" i="3" s="1"/>
  <c r="AI14" i="3"/>
  <c r="AK14" i="3" s="1"/>
  <c r="AM14" i="3" s="1"/>
  <c r="AO14" i="3"/>
  <c r="AQ14" i="3" s="1"/>
  <c r="AS14" i="3" s="1"/>
  <c r="AU14" i="3" s="1"/>
  <c r="D15" i="3"/>
  <c r="F15" i="3"/>
  <c r="H15" i="3"/>
  <c r="J15" i="3"/>
  <c r="L15" i="3"/>
  <c r="N15" i="3"/>
  <c r="P15" i="3"/>
  <c r="R15" i="3"/>
  <c r="T15" i="3"/>
  <c r="V15" i="3"/>
  <c r="X15" i="3"/>
  <c r="Z15" i="3"/>
  <c r="AB15" i="3"/>
  <c r="AD15" i="3"/>
  <c r="AE15" i="3"/>
  <c r="D16" i="3"/>
  <c r="F16" i="3"/>
  <c r="H16" i="3"/>
  <c r="J16" i="3"/>
  <c r="L16" i="3"/>
  <c r="N16" i="3"/>
  <c r="P16" i="3"/>
  <c r="R16" i="3"/>
  <c r="T16" i="3"/>
  <c r="V16" i="3"/>
  <c r="X16" i="3"/>
  <c r="Z16" i="3"/>
  <c r="AB16" i="3"/>
  <c r="AD16" i="3"/>
  <c r="AE16" i="3"/>
  <c r="D17" i="3"/>
  <c r="F17" i="3"/>
  <c r="H17" i="3"/>
  <c r="J17" i="3"/>
  <c r="L17" i="3"/>
  <c r="N17" i="3"/>
  <c r="P17" i="3"/>
  <c r="R17" i="3"/>
  <c r="T17" i="3"/>
  <c r="V17" i="3"/>
  <c r="W17" i="3"/>
  <c r="AC17" i="3"/>
  <c r="AE17" i="3"/>
  <c r="AG17" i="3" s="1"/>
  <c r="AI17" i="3" s="1"/>
  <c r="AK17" i="3" s="1"/>
  <c r="AD17" i="3"/>
  <c r="D18" i="3"/>
  <c r="F18" i="3"/>
  <c r="H18" i="3"/>
  <c r="J18" i="3"/>
  <c r="L18" i="3"/>
  <c r="N18" i="3"/>
  <c r="P18" i="3"/>
  <c r="R18" i="3"/>
  <c r="T18" i="3"/>
  <c r="V18" i="3"/>
  <c r="X18" i="3"/>
  <c r="Z18" i="3"/>
  <c r="AB18" i="3"/>
  <c r="AD18" i="3"/>
  <c r="AE18" i="3"/>
  <c r="B11" i="9"/>
  <c r="M271" i="7" s="1"/>
  <c r="B7" i="10"/>
  <c r="B9" i="9" s="1"/>
  <c r="C7" i="10"/>
  <c r="C9" i="9"/>
  <c r="B8" i="10"/>
  <c r="B10" i="9" s="1"/>
  <c r="C8" i="10"/>
  <c r="C10" i="9"/>
  <c r="M270" i="7" s="1"/>
  <c r="B9" i="10"/>
  <c r="C9" i="10"/>
  <c r="C11" i="9" s="1"/>
  <c r="C27" i="10"/>
  <c r="C20" i="9" s="1"/>
  <c r="D31" i="10"/>
  <c r="B26" i="10" s="1"/>
  <c r="B19" i="9" s="1"/>
  <c r="N269" i="7" s="1"/>
  <c r="D32" i="10"/>
  <c r="B27" i="10"/>
  <c r="B20" i="9" s="1"/>
  <c r="D33" i="10"/>
  <c r="B28" i="10" s="1"/>
  <c r="B21" i="9" s="1"/>
  <c r="E35" i="10"/>
  <c r="C26" i="10" s="1"/>
  <c r="C19" i="9"/>
  <c r="D52" i="10"/>
  <c r="D53" i="10"/>
  <c r="B48" i="10" s="1"/>
  <c r="B30" i="9" s="1"/>
  <c r="D54" i="10"/>
  <c r="B49" i="10"/>
  <c r="B31" i="9" s="1"/>
  <c r="E56" i="10"/>
  <c r="D73" i="10"/>
  <c r="D74" i="10"/>
  <c r="D75" i="10"/>
  <c r="E77" i="10"/>
  <c r="C89" i="10"/>
  <c r="C49" i="9" s="1"/>
  <c r="D94" i="10"/>
  <c r="B89" i="10" s="1"/>
  <c r="B49" i="9" s="1"/>
  <c r="Q269" i="7" s="1"/>
  <c r="D95" i="10"/>
  <c r="B90" i="10"/>
  <c r="B50" i="9" s="1"/>
  <c r="D96" i="10"/>
  <c r="B91" i="10" s="1"/>
  <c r="B51" i="9"/>
  <c r="Q271" i="7" s="1"/>
  <c r="E98" i="10"/>
  <c r="C90" i="10"/>
  <c r="C50" i="9" s="1"/>
  <c r="D115" i="10"/>
  <c r="D116" i="10"/>
  <c r="B111" i="10" s="1"/>
  <c r="B60" i="9" s="1"/>
  <c r="D117" i="10"/>
  <c r="B112" i="10"/>
  <c r="B61" i="9" s="1"/>
  <c r="E119" i="10"/>
  <c r="C112" i="10" s="1"/>
  <c r="C110" i="10"/>
  <c r="C59" i="9" s="1"/>
  <c r="D136" i="10"/>
  <c r="D137" i="10"/>
  <c r="D138" i="10"/>
  <c r="E140" i="10"/>
  <c r="D157" i="10"/>
  <c r="D158" i="10"/>
  <c r="D159" i="10"/>
  <c r="E161" i="10"/>
  <c r="C174" i="10"/>
  <c r="C89" i="9" s="1"/>
  <c r="D179" i="10"/>
  <c r="B174" i="10" s="1"/>
  <c r="B89" i="9" s="1"/>
  <c r="D180" i="10"/>
  <c r="B175" i="10"/>
  <c r="B90" i="9" s="1"/>
  <c r="D181" i="10"/>
  <c r="E183" i="10"/>
  <c r="C175" i="10" s="1"/>
  <c r="C90" i="9"/>
  <c r="B199" i="10"/>
  <c r="B100" i="9"/>
  <c r="D203" i="10"/>
  <c r="B198" i="10" s="1"/>
  <c r="B99" i="9" s="1"/>
  <c r="D204" i="10"/>
  <c r="D205" i="10"/>
  <c r="B200" i="10"/>
  <c r="B101" i="9" s="1"/>
  <c r="E207" i="10"/>
  <c r="C199" i="10" s="1"/>
  <c r="C100" i="9" s="1"/>
  <c r="C200" i="10"/>
  <c r="C101" i="9"/>
  <c r="Y270" i="7"/>
  <c r="AM17" i="3"/>
  <c r="AO17" i="3" s="1"/>
  <c r="AQ17" i="3"/>
  <c r="AS17" i="3" s="1"/>
  <c r="AU17" i="3" s="1"/>
  <c r="AT17" i="3"/>
  <c r="AF16" i="3"/>
  <c r="AG16" i="3"/>
  <c r="AI16" i="3" s="1"/>
  <c r="AK16" i="3"/>
  <c r="C176" i="10"/>
  <c r="C91" i="9"/>
  <c r="C91" i="10"/>
  <c r="C51" i="9"/>
  <c r="AF18" i="3"/>
  <c r="AG18" i="3"/>
  <c r="AH18" i="3"/>
  <c r="AJ17" i="3"/>
  <c r="AP17" i="3"/>
  <c r="AH17" i="3"/>
  <c r="C198" i="10"/>
  <c r="C99" i="9" s="1"/>
  <c r="C61" i="9"/>
  <c r="R271" i="7"/>
  <c r="C28" i="10"/>
  <c r="C21" i="9" s="1"/>
  <c r="AF13" i="3"/>
  <c r="AD12" i="3"/>
  <c r="T11" i="3"/>
  <c r="N11" i="3"/>
  <c r="AV17" i="3"/>
  <c r="AH16" i="3"/>
  <c r="AJ16" i="3"/>
  <c r="AR17" i="3"/>
  <c r="AI18" i="3"/>
  <c r="AK18" i="3" s="1"/>
  <c r="AM18" i="3"/>
  <c r="AL18" i="3"/>
  <c r="AN18" i="3"/>
  <c r="AO18" i="3"/>
  <c r="L35" i="7"/>
  <c r="G35" i="7" s="1"/>
  <c r="I35" i="7"/>
  <c r="G29" i="7"/>
  <c r="G27" i="7"/>
  <c r="I27" i="7"/>
  <c r="I38" i="7" s="1"/>
  <c r="G34" i="7"/>
  <c r="I34" i="7" s="1"/>
  <c r="I32" i="7"/>
  <c r="G30" i="7"/>
  <c r="I30" i="7" s="1"/>
  <c r="AC268" i="7"/>
  <c r="F268" i="7" s="1"/>
  <c r="F269" i="7"/>
  <c r="G38" i="7"/>
  <c r="F286" i="7"/>
  <c r="F287" i="7" s="1"/>
  <c r="C45" i="7"/>
  <c r="G45" i="7"/>
  <c r="AM16" i="3" l="1"/>
  <c r="AO16" i="3" s="1"/>
  <c r="AQ16" i="3" s="1"/>
  <c r="AS16" i="3" s="1"/>
  <c r="AU16" i="3" s="1"/>
  <c r="AL16" i="3"/>
  <c r="AN16" i="3"/>
  <c r="AT16" i="3"/>
  <c r="AR16" i="3"/>
  <c r="C153" i="10"/>
  <c r="C80" i="9" s="1"/>
  <c r="B153" i="10"/>
  <c r="B80" i="9" s="1"/>
  <c r="C152" i="10"/>
  <c r="C79" i="9" s="1"/>
  <c r="C154" i="10"/>
  <c r="C81" i="9" s="1"/>
  <c r="B152" i="10"/>
  <c r="B79" i="9" s="1"/>
  <c r="Z14" i="3"/>
  <c r="AN14" i="3"/>
  <c r="AH14" i="3"/>
  <c r="AT14" i="3"/>
  <c r="AB14" i="3"/>
  <c r="AV14" i="3"/>
  <c r="AD14" i="3"/>
  <c r="AJ14" i="3"/>
  <c r="AP14" i="3"/>
  <c r="AF14" i="3"/>
  <c r="X14" i="3"/>
  <c r="AL14" i="3"/>
  <c r="AP18" i="3"/>
  <c r="AQ18" i="3"/>
  <c r="AS18" i="3" s="1"/>
  <c r="AU18" i="3" s="1"/>
  <c r="AR14" i="3"/>
  <c r="AB269" i="7"/>
  <c r="AA269" i="7"/>
  <c r="Z269" i="7"/>
  <c r="Q270" i="7"/>
  <c r="F271" i="7"/>
  <c r="F272" i="7" s="1"/>
  <c r="F277" i="7" s="1"/>
  <c r="G37" i="7"/>
  <c r="I37" i="7" s="1"/>
  <c r="AB271" i="7"/>
  <c r="AA271" i="7"/>
  <c r="AB270" i="7"/>
  <c r="AA270" i="7"/>
  <c r="X269" i="7"/>
  <c r="W269" i="7"/>
  <c r="C131" i="10"/>
  <c r="C69" i="9" s="1"/>
  <c r="B131" i="10"/>
  <c r="B69" i="9" s="1"/>
  <c r="C132" i="10"/>
  <c r="C70" i="9" s="1"/>
  <c r="B132" i="10"/>
  <c r="B70" i="9" s="1"/>
  <c r="S270" i="7" s="1"/>
  <c r="C133" i="10"/>
  <c r="C71" i="9" s="1"/>
  <c r="C69" i="10"/>
  <c r="C40" i="9" s="1"/>
  <c r="C68" i="10"/>
  <c r="C39" i="9" s="1"/>
  <c r="C70" i="10"/>
  <c r="C41" i="9" s="1"/>
  <c r="B69" i="10"/>
  <c r="B40" i="9" s="1"/>
  <c r="B68" i="10"/>
  <c r="B39" i="9" s="1"/>
  <c r="N271" i="7"/>
  <c r="AF15" i="3"/>
  <c r="AG15" i="3"/>
  <c r="Z271" i="7"/>
  <c r="Y269" i="7"/>
  <c r="B133" i="10"/>
  <c r="B71" i="9" s="1"/>
  <c r="B70" i="10"/>
  <c r="B41" i="9" s="1"/>
  <c r="M269" i="7"/>
  <c r="D11" i="3"/>
  <c r="R11" i="3"/>
  <c r="AD11" i="3"/>
  <c r="H11" i="3"/>
  <c r="AF11" i="3"/>
  <c r="AV11" i="3"/>
  <c r="AH11" i="3"/>
  <c r="F11" i="3"/>
  <c r="V11" i="3"/>
  <c r="AR11" i="3"/>
  <c r="J11" i="3"/>
  <c r="AL11" i="3"/>
  <c r="AT11" i="3"/>
  <c r="P11" i="3"/>
  <c r="Z11" i="3"/>
  <c r="AJ11" i="3"/>
  <c r="L11" i="3"/>
  <c r="AP11" i="3"/>
  <c r="AN11" i="3"/>
  <c r="AB11" i="3"/>
  <c r="X11" i="3"/>
  <c r="Z270" i="7"/>
  <c r="W270" i="7"/>
  <c r="X270" i="7"/>
  <c r="AB17" i="3"/>
  <c r="X17" i="3"/>
  <c r="AL17" i="3"/>
  <c r="AN17" i="3"/>
  <c r="AF17" i="3"/>
  <c r="Z17" i="3"/>
  <c r="AE10" i="3"/>
  <c r="AD10" i="3"/>
  <c r="G145" i="7"/>
  <c r="C47" i="10"/>
  <c r="C29" i="9" s="1"/>
  <c r="C48" i="10"/>
  <c r="C30" i="9" s="1"/>
  <c r="O270" i="7" s="1"/>
  <c r="B47" i="10"/>
  <c r="B29" i="9" s="1"/>
  <c r="C49" i="10"/>
  <c r="C31" i="9" s="1"/>
  <c r="O271" i="7" s="1"/>
  <c r="N270" i="7"/>
  <c r="AG13" i="3"/>
  <c r="AE12" i="3"/>
  <c r="B176" i="10"/>
  <c r="B91" i="9" s="1"/>
  <c r="B154" i="10"/>
  <c r="B81" i="9" s="1"/>
  <c r="B110" i="10"/>
  <c r="B59" i="9" s="1"/>
  <c r="R269" i="7" s="1"/>
  <c r="AJ18" i="3"/>
  <c r="C111" i="10"/>
  <c r="C60" i="9" s="1"/>
  <c r="R270" i="7" s="1"/>
  <c r="AP16" i="3"/>
  <c r="AV16" i="3"/>
  <c r="F283" i="7" l="1"/>
  <c r="F278" i="7"/>
  <c r="F279" i="7" s="1"/>
  <c r="AG10" i="3"/>
  <c r="AI15" i="3"/>
  <c r="AH15" i="3"/>
  <c r="V271" i="7"/>
  <c r="U271" i="7"/>
  <c r="T271" i="7"/>
  <c r="Y271" i="7"/>
  <c r="W271" i="7"/>
  <c r="X271" i="7"/>
  <c r="U270" i="7"/>
  <c r="T270" i="7"/>
  <c r="V270" i="7"/>
  <c r="AR18" i="3"/>
  <c r="G36" i="7"/>
  <c r="I36" i="7" s="1"/>
  <c r="P271" i="7"/>
  <c r="AJ15" i="3"/>
  <c r="P269" i="7"/>
  <c r="AV18" i="3"/>
  <c r="U269" i="7"/>
  <c r="T269" i="7"/>
  <c r="V269" i="7"/>
  <c r="AF12" i="3"/>
  <c r="AG12" i="3"/>
  <c r="AI13" i="3"/>
  <c r="AH13" i="3"/>
  <c r="O269" i="7"/>
  <c r="AF10" i="3"/>
  <c r="AH10" i="3"/>
  <c r="S271" i="7"/>
  <c r="P270" i="7"/>
  <c r="S269" i="7"/>
  <c r="AT18" i="3"/>
  <c r="AI12" i="3" l="1"/>
  <c r="AK12" i="3" s="1"/>
  <c r="AM12" i="3" s="1"/>
  <c r="AO12" i="3" s="1"/>
  <c r="AQ12" i="3" s="1"/>
  <c r="AS12" i="3" s="1"/>
  <c r="AU12" i="3" s="1"/>
  <c r="AH12" i="3"/>
  <c r="AV12" i="3"/>
  <c r="AK13" i="3"/>
  <c r="AI10" i="3"/>
  <c r="AK10" i="3" s="1"/>
  <c r="AM10" i="3" s="1"/>
  <c r="AO10" i="3" s="1"/>
  <c r="AQ10" i="3" s="1"/>
  <c r="AS10" i="3" s="1"/>
  <c r="AU10" i="3" s="1"/>
  <c r="AV10" i="3"/>
  <c r="AJ10" i="3"/>
  <c r="AN10" i="3"/>
  <c r="AP10" i="3"/>
  <c r="AL10" i="3"/>
  <c r="AJ13" i="3"/>
  <c r="AT10" i="3"/>
  <c r="AK15" i="3"/>
  <c r="G283" i="7"/>
  <c r="H283" i="7" s="1"/>
  <c r="I282" i="7" s="1"/>
  <c r="F284" i="7"/>
  <c r="F285" i="7" s="1"/>
  <c r="AM15" i="3" l="1"/>
  <c r="AO15" i="3" s="1"/>
  <c r="AQ15" i="3" s="1"/>
  <c r="AS15" i="3" s="1"/>
  <c r="AU15" i="3" s="1"/>
  <c r="AL15" i="3"/>
  <c r="AN15" i="3"/>
  <c r="AP12" i="3"/>
  <c r="AT12" i="3"/>
  <c r="AN12" i="3"/>
  <c r="AR12" i="3"/>
  <c r="AR10" i="3"/>
  <c r="AJ12" i="3"/>
  <c r="AM13" i="3"/>
  <c r="AL13" i="3"/>
  <c r="AL12" i="3"/>
  <c r="AP15" i="3" l="1"/>
  <c r="AT15" i="3"/>
  <c r="AO13" i="3"/>
  <c r="AQ13" i="3" s="1"/>
  <c r="AS13" i="3" s="1"/>
  <c r="AU13" i="3" s="1"/>
  <c r="AR13" i="3"/>
  <c r="AN13" i="3"/>
  <c r="AT13" i="3"/>
  <c r="AR15" i="3"/>
  <c r="AV15" i="3"/>
  <c r="AV13" i="3" l="1"/>
  <c r="AP13" i="3"/>
  <c r="N75" i="7"/>
  <c r="M75" i="7"/>
  <c r="L75" i="7"/>
  <c r="K75" i="7"/>
  <c r="L76" i="7"/>
  <c r="K76" i="7"/>
  <c r="N76" i="7"/>
  <c r="M76" i="7"/>
  <c r="M105" i="7"/>
  <c r="L105" i="7"/>
  <c r="K105" i="7"/>
  <c r="N105" i="7"/>
  <c r="K99" i="7"/>
  <c r="N99" i="7"/>
  <c r="M99" i="7"/>
  <c r="L99" i="7"/>
  <c r="L77" i="7"/>
  <c r="K77" i="7"/>
  <c r="N77" i="7"/>
  <c r="M77" i="7"/>
  <c r="K84" i="7"/>
  <c r="N84" i="7"/>
  <c r="M84" i="7"/>
  <c r="L84" i="7"/>
  <c r="L78" i="7"/>
  <c r="K78" i="7"/>
  <c r="N78" i="7"/>
  <c r="M78" i="7"/>
  <c r="N65" i="7"/>
  <c r="M65" i="7"/>
  <c r="L65" i="7"/>
  <c r="K65" i="7"/>
  <c r="K103" i="7"/>
  <c r="N103" i="7"/>
  <c r="M103" i="7"/>
  <c r="L103" i="7"/>
  <c r="L89" i="7"/>
  <c r="K89" i="7"/>
  <c r="N89" i="7"/>
  <c r="M89" i="7"/>
  <c r="N45" i="7"/>
  <c r="M45" i="7"/>
  <c r="L45" i="7"/>
  <c r="K45" i="7"/>
  <c r="N71" i="7"/>
  <c r="M71" i="7"/>
  <c r="L71" i="7"/>
  <c r="K71" i="7"/>
  <c r="K107" i="7"/>
  <c r="N107" i="7"/>
  <c r="M107" i="7"/>
  <c r="L107" i="7"/>
  <c r="L116" i="7"/>
  <c r="K116" i="7"/>
  <c r="N116" i="7"/>
  <c r="M116" i="7"/>
  <c r="L96" i="7"/>
  <c r="K96" i="7"/>
  <c r="N96" i="7"/>
  <c r="M96" i="7"/>
  <c r="L108" i="7"/>
  <c r="K108" i="7"/>
  <c r="N108" i="7"/>
  <c r="M108" i="7"/>
  <c r="L91" i="7"/>
  <c r="K91" i="7"/>
  <c r="N91" i="7"/>
  <c r="M91" i="7"/>
  <c r="N47" i="7"/>
  <c r="M47" i="7"/>
  <c r="L47" i="7"/>
  <c r="K47" i="7"/>
  <c r="L49" i="7"/>
  <c r="K49" i="7"/>
  <c r="N49" i="7"/>
  <c r="M49" i="7"/>
  <c r="K48" i="7"/>
  <c r="N48" i="7"/>
  <c r="M48" i="7"/>
  <c r="L48" i="7"/>
  <c r="N139" i="7"/>
  <c r="M139" i="7"/>
  <c r="L139" i="7"/>
  <c r="K139" i="7"/>
  <c r="N60" i="7"/>
  <c r="M60" i="7"/>
  <c r="L60" i="7"/>
  <c r="K60" i="7"/>
  <c r="M80" i="7"/>
  <c r="L80" i="7"/>
  <c r="K80" i="7"/>
  <c r="N80" i="7"/>
  <c r="K87" i="7"/>
  <c r="N87" i="7"/>
  <c r="M87" i="7"/>
  <c r="L87" i="7"/>
  <c r="L59" i="7"/>
  <c r="K59" i="7"/>
  <c r="N59" i="7"/>
  <c r="M59" i="7"/>
  <c r="N138" i="7"/>
  <c r="M138" i="7"/>
  <c r="L138" i="7"/>
  <c r="K138" i="7"/>
  <c r="M86" i="7"/>
  <c r="L86" i="7"/>
  <c r="K86" i="7"/>
  <c r="N86" i="7"/>
  <c r="K90" i="7"/>
  <c r="N90" i="7"/>
  <c r="M90" i="7"/>
  <c r="L90" i="7"/>
  <c r="N83" i="7"/>
  <c r="M83" i="7"/>
  <c r="L83" i="7"/>
  <c r="K83" i="7"/>
  <c r="K85" i="7"/>
  <c r="N85" i="7"/>
  <c r="M85" i="7"/>
  <c r="L85" i="7"/>
  <c r="K93" i="7"/>
  <c r="N93" i="7"/>
  <c r="M93" i="7"/>
  <c r="L93" i="7"/>
  <c r="M142" i="7"/>
  <c r="L142" i="7"/>
  <c r="K142" i="7"/>
  <c r="N142" i="7"/>
  <c r="M121" i="7"/>
  <c r="L121" i="7"/>
  <c r="K121" i="7"/>
  <c r="N121" i="7"/>
  <c r="M134" i="7"/>
  <c r="L134" i="7"/>
  <c r="K134" i="7"/>
  <c r="N134" i="7"/>
  <c r="N124" i="7"/>
  <c r="M124" i="7"/>
  <c r="L124" i="7"/>
  <c r="K124" i="7"/>
  <c r="M109" i="7"/>
  <c r="L109" i="7"/>
  <c r="K109" i="7"/>
  <c r="N109" i="7"/>
  <c r="N69" i="7"/>
  <c r="M69" i="7"/>
  <c r="L69" i="7"/>
  <c r="K69" i="7"/>
  <c r="K68" i="7"/>
  <c r="N68" i="7"/>
  <c r="M68" i="7"/>
  <c r="L68" i="7"/>
  <c r="K72" i="7"/>
  <c r="N72" i="7"/>
  <c r="M72" i="7"/>
  <c r="L72" i="7"/>
  <c r="K95" i="7"/>
  <c r="N95" i="7"/>
  <c r="M95" i="7"/>
  <c r="L95" i="7"/>
  <c r="M118" i="7"/>
  <c r="L118" i="7"/>
  <c r="K118" i="7"/>
  <c r="N118" i="7"/>
  <c r="M82" i="7"/>
  <c r="L82" i="7"/>
  <c r="K82" i="7"/>
  <c r="N82" i="7"/>
  <c r="N67" i="7"/>
  <c r="M67" i="7"/>
  <c r="L67" i="7"/>
  <c r="K67" i="7"/>
  <c r="M140" i="7"/>
  <c r="L140" i="7"/>
  <c r="K140" i="7"/>
  <c r="N140" i="7"/>
  <c r="L50" i="7"/>
  <c r="K50" i="7"/>
  <c r="N50" i="7"/>
  <c r="M50" i="7"/>
  <c r="L112" i="7"/>
  <c r="K112" i="7"/>
  <c r="N112" i="7"/>
  <c r="M112" i="7"/>
  <c r="K106" i="7"/>
  <c r="N106" i="7"/>
  <c r="M106" i="7"/>
  <c r="L106" i="7"/>
  <c r="L143" i="7"/>
  <c r="K143" i="7"/>
  <c r="N143" i="7"/>
  <c r="M143" i="7"/>
  <c r="N57" i="7"/>
  <c r="M57" i="7"/>
  <c r="L57" i="7"/>
  <c r="K57" i="7"/>
  <c r="L126" i="7"/>
  <c r="K126" i="7"/>
  <c r="N126" i="7"/>
  <c r="M126" i="7"/>
  <c r="M132" i="7"/>
  <c r="L132" i="7"/>
  <c r="K132" i="7"/>
  <c r="N132" i="7"/>
  <c r="L54" i="7"/>
  <c r="K54" i="7"/>
  <c r="N54" i="7"/>
  <c r="M54" i="7"/>
  <c r="M137" i="7"/>
  <c r="L137" i="7"/>
  <c r="K137" i="7"/>
  <c r="N137" i="7"/>
  <c r="L144" i="7"/>
  <c r="K144" i="7"/>
  <c r="N144" i="7"/>
  <c r="M144" i="7"/>
  <c r="K111" i="7"/>
  <c r="N111" i="7"/>
  <c r="M111" i="7"/>
  <c r="L111" i="7"/>
  <c r="L110" i="7"/>
  <c r="K110" i="7"/>
  <c r="N110" i="7"/>
  <c r="M110" i="7"/>
  <c r="N97" i="7"/>
  <c r="M97" i="7"/>
  <c r="L97" i="7"/>
  <c r="K97" i="7"/>
  <c r="N125" i="7"/>
  <c r="M125" i="7"/>
  <c r="L125" i="7"/>
  <c r="K125" i="7"/>
  <c r="L81" i="7"/>
  <c r="K81" i="7"/>
  <c r="N81" i="7"/>
  <c r="M81" i="7"/>
  <c r="L114" i="7"/>
  <c r="K114" i="7"/>
  <c r="N114" i="7"/>
  <c r="M114" i="7"/>
  <c r="K61" i="7"/>
  <c r="N61" i="7"/>
  <c r="M61" i="7"/>
  <c r="L61" i="7"/>
  <c r="K104" i="7"/>
  <c r="N104" i="7"/>
  <c r="M104" i="7"/>
  <c r="L104" i="7"/>
  <c r="N52" i="7"/>
  <c r="M52" i="7"/>
  <c r="L52" i="7"/>
  <c r="K52" i="7"/>
  <c r="N130" i="7"/>
  <c r="M130" i="7"/>
  <c r="L130" i="7"/>
  <c r="K130" i="7"/>
  <c r="L63" i="7"/>
  <c r="K63" i="7"/>
  <c r="N63" i="7"/>
  <c r="M63" i="7"/>
  <c r="N127" i="7"/>
  <c r="M127" i="7"/>
  <c r="L127" i="7"/>
  <c r="K127" i="7"/>
  <c r="N62" i="7"/>
  <c r="M62" i="7"/>
  <c r="L62" i="7"/>
  <c r="K62" i="7"/>
  <c r="L119" i="7"/>
  <c r="K119" i="7"/>
  <c r="N119" i="7"/>
  <c r="M119" i="7"/>
  <c r="N94" i="7"/>
  <c r="M94" i="7"/>
  <c r="L94" i="7"/>
  <c r="K94" i="7"/>
  <c r="N58" i="7"/>
  <c r="M58" i="7"/>
  <c r="L58" i="7"/>
  <c r="K58" i="7"/>
  <c r="N51" i="7"/>
  <c r="M51" i="7"/>
  <c r="L51" i="7"/>
  <c r="K51" i="7"/>
  <c r="N133" i="7"/>
  <c r="M133" i="7"/>
  <c r="L133" i="7"/>
  <c r="K133" i="7"/>
  <c r="L129" i="7"/>
  <c r="K129" i="7"/>
  <c r="N129" i="7"/>
  <c r="M129" i="7"/>
  <c r="L73" i="7"/>
  <c r="K73" i="7"/>
  <c r="N73" i="7"/>
  <c r="M73" i="7"/>
  <c r="M101" i="7"/>
  <c r="L101" i="7"/>
  <c r="K101" i="7"/>
  <c r="N101" i="7"/>
  <c r="L56" i="7"/>
  <c r="K56" i="7"/>
  <c r="N56" i="7"/>
  <c r="M56" i="7"/>
  <c r="N70" i="7"/>
  <c r="M70" i="7"/>
  <c r="L70" i="7"/>
  <c r="K70" i="7"/>
  <c r="K135" i="7"/>
  <c r="N135" i="7"/>
  <c r="M135" i="7"/>
  <c r="L135" i="7"/>
  <c r="K46" i="7"/>
  <c r="N46" i="7"/>
  <c r="M46" i="7"/>
  <c r="L46" i="7"/>
  <c r="K100" i="7"/>
  <c r="N100" i="7"/>
  <c r="M100" i="7"/>
  <c r="L100" i="7"/>
  <c r="L66" i="7"/>
  <c r="K66" i="7"/>
  <c r="N66" i="7"/>
  <c r="M66" i="7"/>
  <c r="M55" i="7"/>
  <c r="L55" i="7"/>
  <c r="K55" i="7"/>
  <c r="N55" i="7"/>
  <c r="N128" i="7"/>
  <c r="M128" i="7"/>
  <c r="L128" i="7"/>
  <c r="K128" i="7"/>
  <c r="N79" i="7"/>
  <c r="M79" i="7"/>
  <c r="L79" i="7"/>
  <c r="K79" i="7"/>
  <c r="M88" i="7"/>
  <c r="L88" i="7"/>
  <c r="K88" i="7"/>
  <c r="N88" i="7"/>
  <c r="K123" i="7"/>
  <c r="N123" i="7"/>
  <c r="M123" i="7"/>
  <c r="L123" i="7"/>
  <c r="M53" i="7"/>
  <c r="L53" i="7"/>
  <c r="K53" i="7"/>
  <c r="N53" i="7"/>
  <c r="K113" i="7"/>
  <c r="N113" i="7"/>
  <c r="M113" i="7"/>
  <c r="L113" i="7"/>
  <c r="L115" i="7"/>
  <c r="K115" i="7"/>
  <c r="N115" i="7"/>
  <c r="M115" i="7"/>
  <c r="N98" i="7"/>
  <c r="M98" i="7"/>
  <c r="L98" i="7"/>
  <c r="K98" i="7"/>
  <c r="K136" i="7"/>
  <c r="N136" i="7"/>
  <c r="M136" i="7"/>
  <c r="L136" i="7"/>
  <c r="L102" i="7"/>
  <c r="K102" i="7"/>
  <c r="N102" i="7"/>
  <c r="M102" i="7"/>
  <c r="L117" i="7"/>
  <c r="K117" i="7"/>
  <c r="N117" i="7"/>
  <c r="M117" i="7"/>
  <c r="N131" i="7"/>
  <c r="M131" i="7"/>
  <c r="L131" i="7"/>
  <c r="K131" i="7"/>
  <c r="K64" i="7"/>
  <c r="N64" i="7"/>
  <c r="M64" i="7"/>
  <c r="L64" i="7"/>
  <c r="N141" i="7"/>
  <c r="M141" i="7"/>
  <c r="L141" i="7"/>
  <c r="K141" i="7"/>
  <c r="M120" i="7"/>
  <c r="L120" i="7"/>
  <c r="K120" i="7"/>
  <c r="N120" i="7"/>
  <c r="K74" i="7"/>
  <c r="N74" i="7"/>
  <c r="M74" i="7"/>
  <c r="L74" i="7"/>
  <c r="L122" i="7"/>
  <c r="K122" i="7"/>
  <c r="N122" i="7"/>
  <c r="M122" i="7"/>
  <c r="K92" i="7"/>
  <c r="N92" i="7"/>
  <c r="M92" i="7"/>
  <c r="L92" i="7"/>
</calcChain>
</file>

<file path=xl/comments1.xml><?xml version="1.0" encoding="utf-8"?>
<comments xmlns="http://schemas.openxmlformats.org/spreadsheetml/2006/main">
  <authors>
    <author>Leonard, John</author>
    <author>NYC</author>
  </authors>
  <commentList>
    <comment ref="O26" authorId="0">
      <text>
        <r>
          <rPr>
            <b/>
            <sz val="9"/>
            <color indexed="81"/>
            <rFont val="Tahoma"/>
            <family val="2"/>
          </rPr>
          <t>Leonard, John:</t>
        </r>
        <r>
          <rPr>
            <sz val="9"/>
            <color indexed="81"/>
            <rFont val="Tahoma"/>
            <family val="2"/>
          </rPr>
          <t xml:space="preserve">
The formulas for O28 through O36 were corrected to multiply 2014 monthly expenses (column AH on "PIOC FACTORS") by 12. </t>
        </r>
      </text>
    </comment>
    <comment ref="P26" authorId="0">
      <text>
        <r>
          <rPr>
            <b/>
            <sz val="9"/>
            <color indexed="81"/>
            <rFont val="Tahoma"/>
            <family val="2"/>
          </rPr>
          <t xml:space="preserve">Leonard, John: </t>
        </r>
        <r>
          <rPr>
            <sz val="9"/>
            <color indexed="81"/>
            <rFont val="Tahoma"/>
            <family val="2"/>
          </rPr>
          <t xml:space="preserve">The formulas for P28 through P36 were corrected to multiply 2018 monthly expenses (column AP on "PIOC FACTORS") by 12. </t>
        </r>
      </text>
    </comment>
    <comment ref="O53" authorId="1">
      <text>
        <r>
          <rPr>
            <b/>
            <sz val="8"/>
            <color indexed="81"/>
            <rFont val="Tahoma"/>
            <family val="2"/>
          </rPr>
          <t>Averaged from the tax rates for both quarters.</t>
        </r>
      </text>
    </comment>
  </commentList>
</comments>
</file>

<file path=xl/comments2.xml><?xml version="1.0" encoding="utf-8"?>
<comments xmlns="http://schemas.openxmlformats.org/spreadsheetml/2006/main">
  <authors>
    <author>NYC</author>
  </authors>
  <commentList>
    <comment ref="A12" authorId="0">
      <text>
        <r>
          <rPr>
            <b/>
            <sz val="8"/>
            <color indexed="81"/>
            <rFont val="Tahoma"/>
            <family val="2"/>
          </rPr>
          <t>Water &amp; Sewer - Frontage for years 1999 through 2002</t>
        </r>
      </text>
    </comment>
    <comment ref="A13" authorId="0">
      <text>
        <r>
          <rPr>
            <b/>
            <sz val="8"/>
            <color indexed="81"/>
            <rFont val="Tahoma"/>
            <family val="2"/>
          </rPr>
          <t>Gas 
65,000 therms</t>
        </r>
      </text>
    </comment>
    <comment ref="A14" authorId="0">
      <text>
        <r>
          <rPr>
            <b/>
            <sz val="8"/>
            <color indexed="81"/>
            <rFont val="Tahoma"/>
            <family val="2"/>
          </rPr>
          <t>Electricity 
15,000 KWH</t>
        </r>
      </text>
    </comment>
  </commentList>
</comments>
</file>

<file path=xl/sharedStrings.xml><?xml version="1.0" encoding="utf-8"?>
<sst xmlns="http://schemas.openxmlformats.org/spreadsheetml/2006/main" count="585" uniqueCount="201">
  <si>
    <t>Rent and Preliminary Fee Calculator (fill in yellow cells only)</t>
  </si>
  <si>
    <t>Project Information</t>
  </si>
  <si>
    <t>Application Sequence #</t>
  </si>
  <si>
    <t>Address</t>
  </si>
  <si>
    <t>Borough</t>
  </si>
  <si>
    <t>Docket #</t>
  </si>
  <si>
    <t>Block</t>
  </si>
  <si>
    <t>Current Lot(s)</t>
  </si>
  <si>
    <t># of Bldgs</t>
  </si>
  <si>
    <t>Total # of DU's</t>
  </si>
  <si>
    <t>Total # Rooms</t>
  </si>
  <si>
    <t># DU's/Bldg</t>
  </si>
  <si>
    <t>Construction Start Date (Mo/Yr)</t>
  </si>
  <si>
    <t>Year of Construction Start</t>
  </si>
  <si>
    <t>FY</t>
  </si>
  <si>
    <t>Estimated Year of Construction Completion</t>
  </si>
  <si>
    <t>Base Year for Mini-Tax (FY preceding start date)</t>
  </si>
  <si>
    <t>Applicant's Proposed Monthly Residential Rent</t>
  </si>
  <si>
    <t>Applicant's Proposed Annual Non-Housing Income</t>
  </si>
  <si>
    <t>Calculation of Annual Maximum Allowable M &amp; O, Fees, Replacement Reserves</t>
  </si>
  <si>
    <t>M &amp; O Costs</t>
  </si>
  <si>
    <t>Owner</t>
  </si>
  <si>
    <t>HPD</t>
  </si>
  <si>
    <t>Allowable</t>
  </si>
  <si>
    <t>Application</t>
  </si>
  <si>
    <t>Underwriting</t>
  </si>
  <si>
    <t>Expense</t>
  </si>
  <si>
    <t>Accepted Value</t>
  </si>
  <si>
    <t>1998-2003</t>
  </si>
  <si>
    <t>2004-2010</t>
  </si>
  <si>
    <t>2011-2014</t>
  </si>
  <si>
    <t>2015-2021</t>
  </si>
  <si>
    <t>LABOR</t>
  </si>
  <si>
    <t>FUEL</t>
  </si>
  <si>
    <t>WATER&amp;SEWER</t>
  </si>
  <si>
    <t>GAS</t>
  </si>
  <si>
    <t>ELECTRICITY</t>
  </si>
  <si>
    <t>OTHER</t>
  </si>
  <si>
    <t>CONTRACTOR SERVICES (repairs &amp; maintenance)</t>
  </si>
  <si>
    <t>INSURANCE</t>
  </si>
  <si>
    <t>PARTS AND SUPPLIES</t>
  </si>
  <si>
    <t xml:space="preserve">MANAGEMENT FEE (incl. vacancy allowance) </t>
  </si>
  <si>
    <t>REPLACEMENT RESERVE (.6% of Const. Cost)</t>
  </si>
  <si>
    <t>TOTAL</t>
  </si>
  <si>
    <t>Calculation of Mini-Tax</t>
  </si>
  <si>
    <t xml:space="preserve"> </t>
  </si>
  <si>
    <t>Projected</t>
  </si>
  <si>
    <t>Base Year</t>
  </si>
  <si>
    <t>Tax Rate Estimator</t>
  </si>
  <si>
    <t>Tax Class 2 Rates</t>
  </si>
  <si>
    <t>Lot</t>
  </si>
  <si>
    <t>Tax Rate</t>
  </si>
  <si>
    <t>A.V.</t>
  </si>
  <si>
    <t>Annual Tax</t>
  </si>
  <si>
    <t>TC 2 21-15</t>
  </si>
  <si>
    <t>TC 2 15-09</t>
  </si>
  <si>
    <t>TC 2 08-02</t>
  </si>
  <si>
    <t>TC 2 01-98</t>
  </si>
  <si>
    <t>YR</t>
  </si>
  <si>
    <t>TC2</t>
  </si>
  <si>
    <t>0/1</t>
  </si>
  <si>
    <t>99/00</t>
  </si>
  <si>
    <t>Calculation of Maximum Allowable Development Cost</t>
  </si>
  <si>
    <t>Estimated Development Costs</t>
  </si>
  <si>
    <t>Land Acquisition:</t>
  </si>
  <si>
    <t>Ground Lease Worksheet</t>
  </si>
  <si>
    <t>Type</t>
  </si>
  <si>
    <t>Appraisal / Deed Value</t>
  </si>
  <si>
    <t>HPD UW Cost</t>
  </si>
  <si>
    <t># of Periods
(in Months)</t>
  </si>
  <si>
    <t>Monthly Payment</t>
  </si>
  <si>
    <t>Total</t>
  </si>
  <si>
    <t>Deed</t>
  </si>
  <si>
    <t>Ground Lease</t>
  </si>
  <si>
    <t>Appraisal</t>
  </si>
  <si>
    <t>Deed/GL</t>
  </si>
  <si>
    <t>Total:</t>
  </si>
  <si>
    <t>Note: Max 36 months</t>
  </si>
  <si>
    <t>Construction Cost</t>
  </si>
  <si>
    <t>Builder's Fee/Developer's Profit</t>
  </si>
  <si>
    <t>Professional and Other Fees</t>
  </si>
  <si>
    <t>Marketing Expenses</t>
  </si>
  <si>
    <t>Financing and Other Charges</t>
  </si>
  <si>
    <t>Total Project Cost</t>
  </si>
  <si>
    <t>Professional Certification Information</t>
  </si>
  <si>
    <t>Finished Square Footage</t>
  </si>
  <si>
    <t>Unfinished Square Footage</t>
  </si>
  <si>
    <t>Balcony Square Footage</t>
  </si>
  <si>
    <t>Calculation of Maximum Allowable Construction Cost</t>
  </si>
  <si>
    <t>Building Type</t>
  </si>
  <si>
    <t>Applicant Estimate of Construction Cost</t>
  </si>
  <si>
    <t>Range of Years</t>
  </si>
  <si>
    <t>Accepted Cost</t>
  </si>
  <si>
    <t>HPD Calculated Construction Cost</t>
  </si>
  <si>
    <t>Accepted Construction Cost</t>
  </si>
  <si>
    <t>Low</t>
  </si>
  <si>
    <t>Mid</t>
  </si>
  <si>
    <t>Accepted Development Cost</t>
  </si>
  <si>
    <t>High</t>
  </si>
  <si>
    <t>14% of Accepted Development Cost</t>
  </si>
  <si>
    <t>Calculation of Maximum Allowable Residential Rent</t>
  </si>
  <si>
    <t>Total Expenses</t>
  </si>
  <si>
    <t>Total Monthly Expenses</t>
  </si>
  <si>
    <t>Adjusted Monthly Rent Per Room</t>
  </si>
  <si>
    <t>Annual</t>
  </si>
  <si>
    <t>Monthly</t>
  </si>
  <si>
    <t>Avg. Per Room</t>
  </si>
  <si>
    <t>Applicant's Proposed Annual Residential Rent</t>
  </si>
  <si>
    <t>HPD Calculation of Annual Residential Rent</t>
  </si>
  <si>
    <t>Maximum Allowable Annual Residential Rent</t>
  </si>
  <si>
    <t>Maximum Allowable Monthly Residential Rent</t>
  </si>
  <si>
    <t>Maximum Allowable Annual Residential Rent/Room</t>
  </si>
  <si>
    <t>Maximum Monthly Rent/Residential Room</t>
  </si>
  <si>
    <t>This spreadsheet is being provided solely to assist you in determining whether the initial monthly rents proposed for your project are permissible under the 421-a program. The spreadsheet contains the same formulas currently used in the 421-a Online Application and is provided for your convenience only.  HPD will review the initial monthly rents proposed for your project as part of your 421-a Online Application and will determine such rents based upon the information submitted with your application, in accordance with the provisions set forth in Section 6-04(a) of Title 28 of the Rules of the City of New York.</t>
  </si>
  <si>
    <t>M&amp;O Adjustment Factors</t>
  </si>
  <si>
    <t>Based on Maximum Allowances as established by 421-a Rules (1988), and adjusted by RGB Annual Price Index of Operating Costs, 1999 to date</t>
  </si>
  <si>
    <t>Maximum Monthly Allowance, per Room per Month</t>
  </si>
  <si>
    <t>98/98 Rule</t>
  </si>
  <si>
    <t>PIOC Adj.</t>
  </si>
  <si>
    <t>PIOC Item</t>
  </si>
  <si>
    <t>Base Amount</t>
  </si>
  <si>
    <t>Comp.</t>
  </si>
  <si>
    <t>2012 Est.</t>
  </si>
  <si>
    <t>2013 Est.</t>
  </si>
  <si>
    <t>2014 Est.</t>
  </si>
  <si>
    <t>2015 Est.</t>
  </si>
  <si>
    <t>2016 Est.</t>
  </si>
  <si>
    <t>2017 Est.</t>
  </si>
  <si>
    <t>2018 Est.</t>
  </si>
  <si>
    <t>2019 Est.</t>
  </si>
  <si>
    <t>2020 Est.</t>
  </si>
  <si>
    <t>2021 Est.</t>
  </si>
  <si>
    <t>2022 Est.</t>
  </si>
  <si>
    <t>2023 Est.</t>
  </si>
  <si>
    <t>Labor</t>
  </si>
  <si>
    <t>Fuel</t>
  </si>
  <si>
    <t>Water and Sewer</t>
  </si>
  <si>
    <t>Gas</t>
  </si>
  <si>
    <t>Electricity</t>
  </si>
  <si>
    <t>Other (replacement)</t>
  </si>
  <si>
    <t>Contractor Services</t>
  </si>
  <si>
    <t>Insurance</t>
  </si>
  <si>
    <t>Parts &amp; Supplies</t>
  </si>
  <si>
    <t>Construction Cost Factors</t>
  </si>
  <si>
    <t>Dodge 2004</t>
  </si>
  <si>
    <t>Dodge 2004 Costs</t>
  </si>
  <si>
    <t>Finished</t>
  </si>
  <si>
    <t>Unfinished</t>
  </si>
  <si>
    <t>Low-Rise</t>
  </si>
  <si>
    <t>Mid-Rise</t>
  </si>
  <si>
    <t>High-Rise</t>
  </si>
  <si>
    <t>RS Means 2005</t>
  </si>
  <si>
    <t>RS Means 2006</t>
  </si>
  <si>
    <t>RS Means 2007</t>
  </si>
  <si>
    <t>RS Means 2008</t>
  </si>
  <si>
    <t>RS Means 2009</t>
  </si>
  <si>
    <t>RS Means 2010</t>
  </si>
  <si>
    <t>RS Means 2011</t>
  </si>
  <si>
    <t>RS Means 2014</t>
  </si>
  <si>
    <t>Dodge Calculator Valuation Guide 2004 Assumptions</t>
  </si>
  <si>
    <t>Finished Sq Ft</t>
  </si>
  <si>
    <t>Finished Cost per Sq. Ft</t>
  </si>
  <si>
    <t>Unfinished Sq Ft</t>
  </si>
  <si>
    <t>Unfinished Cost per Sq Ft</t>
  </si>
  <si>
    <t>Stories, Material, Quality</t>
  </si>
  <si>
    <t>3-Story Town House, Masonry Wall, Good Quality</t>
  </si>
  <si>
    <t xml:space="preserve">Mid-Rise Apartments, Masonry Wall, Steel Frame, Average Quality </t>
  </si>
  <si>
    <t>High Rise</t>
  </si>
  <si>
    <t xml:space="preserve">High Rise Apartments, Concrete Frame, Good Quality </t>
  </si>
  <si>
    <t>Local Building Cost Multiplier</t>
  </si>
  <si>
    <t>(Avg. Construction, General Purpose Multiplier, from Calculator Valuation Guide)</t>
  </si>
  <si>
    <t>Effective Dates</t>
  </si>
  <si>
    <t>10/04 - 3/05</t>
  </si>
  <si>
    <t>Exterior Wall, Quality,
Stories</t>
  </si>
  <si>
    <t xml:space="preserve"> Apartment
1-3 Stories</t>
  </si>
  <si>
    <t>Face Brick w/ Concrete Back-up, Steel Joists, 3 Stories</t>
  </si>
  <si>
    <t>N/A</t>
  </si>
  <si>
    <t>Apartment
4-7 Stories</t>
  </si>
  <si>
    <t>Face Brick w/ Concrete Block Back-up, Avg of Steel Frame &amp; Concrete Frame, 6 Stories</t>
  </si>
  <si>
    <t>Apartment
8-24  Stories</t>
  </si>
  <si>
    <t>15-Stories, Ribbed Precast Concrete Panel, Steel Frame</t>
  </si>
  <si>
    <t>Local Multiplier</t>
  </si>
  <si>
    <t>Average</t>
  </si>
  <si>
    <t>Manhattan</t>
  </si>
  <si>
    <t>Staten Island</t>
  </si>
  <si>
    <t>Bronx</t>
  </si>
  <si>
    <t>Brooklyn</t>
  </si>
  <si>
    <t>Queens</t>
  </si>
  <si>
    <t>Ribbed Precast Concrete Panel, Steel Frame, 15 Stories</t>
  </si>
  <si>
    <t>RS Means 2017</t>
  </si>
  <si>
    <t>Stucco and Concrete Block, Reinforced Concrete, 3 Stories</t>
  </si>
  <si>
    <t>Brick Veneer, Avg of Rigid Steel &amp; Reinforced Concrete, 6 Stories</t>
  </si>
  <si>
    <t>Avg of Brick Veneer w/ Rigid Steel &amp; Precast Reinforced Concrete, 15 Stories</t>
  </si>
  <si>
    <t>Comparison of Dodge and RS Means Assumptions per by Number of Units</t>
  </si>
  <si>
    <t>RS Means Square Foot Cost Assumptions</t>
  </si>
  <si>
    <t>Units per Building</t>
  </si>
  <si>
    <t>Finished Sq Ft Area</t>
  </si>
  <si>
    <t>x&lt;6</t>
  </si>
  <si>
    <t>5&lt;x&lt;21</t>
  </si>
  <si>
    <t>x&lt;20</t>
  </si>
  <si>
    <t>*OUTPUT VALUES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</si>
</sst>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&quot;$&quot;#,##0"/>
    <numFmt numFmtId="166" formatCode="&quot;$&quot;#,##0.000"/>
    <numFmt numFmtId="167" formatCode="_(* #,##0_);_(* \(#,##0\);_(* &quot;-&quot;??_);_(@_)"/>
    <numFmt numFmtId="168" formatCode="_(&quot;$&quot;* #,##0_);_(&quot;$&quot;* \(#,##0\);_(&quot;$&quot;* &quot;-&quot;??_);_(@_)"/>
    <numFmt numFmtId="169" formatCode="0.000%"/>
    <numFmt numFmtId="170" formatCode="_(* #,##0.000_);_(* \(#,##0.000\);_(* &quot;-&quot;??_);_(@_)"/>
    <numFmt numFmtId="171" formatCode="_(* #,##0.0000_);_(* \(#,##0.0000\);_(* &quot;-&quot;????_);_(@_)"/>
    <numFmt numFmtId="172" formatCode="0.0000"/>
    <numFmt numFmtId="173" formatCode="_(&quot;$&quot;* #,##0.000_);_(&quot;$&quot;* \(#,##0.000\);_(&quot;$&quot;* &quot;-&quot;???_);_(@_)"/>
    <numFmt numFmtId="174" formatCode="##/##"/>
    <numFmt numFmtId="175" formatCode="0.00000"/>
    <numFmt numFmtId="176" formatCode="0.0000%"/>
    <numFmt numFmtId="177" formatCode="0.00_);\(0.00\)"/>
    <numFmt numFmtId="178" formatCode="##\-##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b/>
      <i/>
      <u/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u/>
      <sz val="12"/>
      <name val="Arial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8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0"/>
      <color indexed="9"/>
      <name val="Arial"/>
      <family val="2"/>
    </font>
    <font>
      <b/>
      <sz val="10"/>
      <name val="Arial"/>
      <family val="2"/>
    </font>
    <font>
      <b/>
      <sz val="10"/>
      <color indexed="9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23"/>
      <name val="Arial"/>
      <family val="2"/>
    </font>
    <font>
      <b/>
      <sz val="10"/>
      <color indexed="12"/>
      <name val="Arial"/>
      <family val="2"/>
    </font>
    <font>
      <sz val="10"/>
      <color indexed="8"/>
      <name val="Arial"/>
      <family val="2"/>
    </font>
    <font>
      <sz val="10"/>
      <color indexed="10"/>
      <name val="Arial"/>
      <family val="2"/>
    </font>
    <font>
      <sz val="10"/>
      <color indexed="55"/>
      <name val="Arial"/>
      <family val="2"/>
    </font>
    <font>
      <b/>
      <u/>
      <sz val="10"/>
      <color indexed="55"/>
      <name val="Arial"/>
      <family val="2"/>
    </font>
    <font>
      <b/>
      <u/>
      <sz val="10"/>
      <color indexed="9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color rgb="FFFFFF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34"/>
      </patternFill>
    </fill>
    <fill>
      <patternFill patternType="solid">
        <fgColor indexed="4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3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36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8" fillId="0" borderId="0" xfId="0" applyFont="1"/>
    <xf numFmtId="0" fontId="3" fillId="0" borderId="0" xfId="0" applyFont="1" applyAlignment="1">
      <alignment horizontal="centerContinuous"/>
    </xf>
    <xf numFmtId="0" fontId="0" fillId="2" borderId="1" xfId="0" applyFill="1" applyBorder="1" applyProtection="1">
      <protection locked="0"/>
    </xf>
    <xf numFmtId="168" fontId="1" fillId="3" borderId="0" xfId="2" applyNumberFormat="1" applyFill="1" applyProtection="1">
      <protection hidden="1"/>
    </xf>
    <xf numFmtId="0" fontId="0" fillId="3" borderId="0" xfId="0" applyFill="1" applyProtection="1">
      <protection hidden="1"/>
    </xf>
    <xf numFmtId="0" fontId="2" fillId="0" borderId="1" xfId="0" applyFont="1" applyBorder="1"/>
    <xf numFmtId="0" fontId="2" fillId="0" borderId="0" xfId="0" applyFont="1" applyBorder="1"/>
    <xf numFmtId="0" fontId="2" fillId="0" borderId="2" xfId="0" applyFont="1" applyBorder="1"/>
    <xf numFmtId="3" fontId="2" fillId="0" borderId="0" xfId="0" applyNumberFormat="1" applyFont="1" applyBorder="1" applyAlignment="1">
      <alignment horizontal="right"/>
    </xf>
    <xf numFmtId="2" fontId="2" fillId="0" borderId="1" xfId="0" applyNumberFormat="1" applyFont="1" applyBorder="1"/>
    <xf numFmtId="0" fontId="1" fillId="2" borderId="3" xfId="0" applyFont="1" applyFill="1" applyBorder="1" applyProtection="1">
      <protection locked="0"/>
    </xf>
    <xf numFmtId="0" fontId="7" fillId="0" borderId="0" xfId="0" applyFont="1"/>
    <xf numFmtId="169" fontId="1" fillId="4" borderId="2" xfId="0" applyNumberFormat="1" applyFont="1" applyFill="1" applyBorder="1" applyProtection="1"/>
    <xf numFmtId="44" fontId="1" fillId="5" borderId="4" xfId="2" applyFont="1" applyFill="1" applyBorder="1" applyProtection="1">
      <protection locked="0"/>
    </xf>
    <xf numFmtId="44" fontId="1" fillId="5" borderId="1" xfId="2" applyFont="1" applyFill="1" applyBorder="1" applyProtection="1">
      <protection locked="0"/>
    </xf>
    <xf numFmtId="44" fontId="1" fillId="2" borderId="1" xfId="2" applyFont="1" applyFill="1" applyBorder="1" applyProtection="1">
      <protection locked="0"/>
    </xf>
    <xf numFmtId="177" fontId="1" fillId="5" borderId="1" xfId="2" applyNumberFormat="1" applyFill="1" applyBorder="1" applyProtection="1">
      <protection locked="0"/>
    </xf>
    <xf numFmtId="0" fontId="5" fillId="3" borderId="5" xfId="0" applyFont="1" applyFill="1" applyBorder="1" applyProtection="1"/>
    <xf numFmtId="0" fontId="0" fillId="3" borderId="5" xfId="0" applyFill="1" applyBorder="1" applyProtection="1"/>
    <xf numFmtId="0" fontId="2" fillId="3" borderId="5" xfId="0" applyFont="1" applyFill="1" applyBorder="1" applyProtection="1"/>
    <xf numFmtId="0" fontId="0" fillId="3" borderId="6" xfId="0" applyFill="1" applyBorder="1" applyProtection="1"/>
    <xf numFmtId="0" fontId="0" fillId="3" borderId="0" xfId="0" applyFill="1" applyProtection="1"/>
    <xf numFmtId="0" fontId="0" fillId="0" borderId="0" xfId="0" applyProtection="1"/>
    <xf numFmtId="0" fontId="5" fillId="3" borderId="0" xfId="0" applyFont="1" applyFill="1" applyBorder="1" applyProtection="1"/>
    <xf numFmtId="0" fontId="0" fillId="3" borderId="0" xfId="0" applyFill="1" applyBorder="1" applyProtection="1"/>
    <xf numFmtId="0" fontId="2" fillId="3" borderId="0" xfId="0" applyFont="1" applyFill="1" applyBorder="1" applyProtection="1"/>
    <xf numFmtId="0" fontId="0" fillId="0" borderId="0" xfId="0" applyBorder="1" applyProtection="1"/>
    <xf numFmtId="0" fontId="0" fillId="0" borderId="5" xfId="0" applyBorder="1" applyProtection="1"/>
    <xf numFmtId="0" fontId="22" fillId="3" borderId="0" xfId="0" applyFont="1" applyFill="1" applyProtection="1"/>
    <xf numFmtId="0" fontId="20" fillId="3" borderId="0" xfId="0" applyFont="1" applyFill="1" applyProtection="1"/>
    <xf numFmtId="0" fontId="1" fillId="3" borderId="0" xfId="0" applyFont="1" applyFill="1" applyProtection="1"/>
    <xf numFmtId="0" fontId="1" fillId="6" borderId="1" xfId="0" applyFont="1" applyFill="1" applyBorder="1" applyProtection="1"/>
    <xf numFmtId="0" fontId="1" fillId="3" borderId="0" xfId="0" applyFont="1" applyFill="1" applyBorder="1" applyProtection="1"/>
    <xf numFmtId="0" fontId="2" fillId="3" borderId="0" xfId="0" applyFont="1" applyFill="1" applyAlignment="1" applyProtection="1">
      <alignment horizontal="right"/>
    </xf>
    <xf numFmtId="44" fontId="20" fillId="3" borderId="0" xfId="2" applyFont="1" applyFill="1" applyProtection="1"/>
    <xf numFmtId="0" fontId="0" fillId="7" borderId="1" xfId="0" applyFill="1" applyBorder="1" applyProtection="1"/>
    <xf numFmtId="164" fontId="0" fillId="3" borderId="0" xfId="0" applyNumberFormat="1" applyFill="1" applyProtection="1"/>
    <xf numFmtId="0" fontId="5" fillId="0" borderId="5" xfId="0" applyFont="1" applyBorder="1" applyProtection="1"/>
    <xf numFmtId="164" fontId="0" fillId="3" borderId="5" xfId="0" applyNumberFormat="1" applyFill="1" applyBorder="1" applyProtection="1"/>
    <xf numFmtId="168" fontId="1" fillId="3" borderId="0" xfId="2" applyNumberFormat="1" applyFill="1" applyProtection="1"/>
    <xf numFmtId="0" fontId="2" fillId="3" borderId="0" xfId="0" applyFont="1" applyFill="1" applyProtection="1"/>
    <xf numFmtId="0" fontId="0" fillId="3" borderId="0" xfId="0" applyFill="1" applyAlignment="1" applyProtection="1">
      <alignment horizontal="left"/>
    </xf>
    <xf numFmtId="0" fontId="3" fillId="3" borderId="0" xfId="0" applyFont="1" applyFill="1" applyProtection="1"/>
    <xf numFmtId="0" fontId="2" fillId="3" borderId="0" xfId="0" applyFont="1" applyFill="1" applyAlignment="1" applyProtection="1">
      <alignment horizontal="center"/>
    </xf>
    <xf numFmtId="0" fontId="4" fillId="3" borderId="0" xfId="0" applyFont="1" applyFill="1" applyProtection="1"/>
    <xf numFmtId="44" fontId="1" fillId="4" borderId="1" xfId="2" applyFont="1" applyFill="1" applyBorder="1" applyAlignment="1" applyProtection="1">
      <alignment horizontal="left"/>
    </xf>
    <xf numFmtId="168" fontId="1" fillId="3" borderId="0" xfId="2" applyNumberFormat="1" applyFont="1" applyFill="1" applyProtection="1"/>
    <xf numFmtId="44" fontId="1" fillId="0" borderId="1" xfId="2" applyFill="1" applyBorder="1" applyProtection="1"/>
    <xf numFmtId="166" fontId="1" fillId="3" borderId="0" xfId="0" applyNumberFormat="1" applyFont="1" applyFill="1" applyProtection="1"/>
    <xf numFmtId="44" fontId="1" fillId="4" borderId="1" xfId="2" applyFill="1" applyBorder="1" applyProtection="1"/>
    <xf numFmtId="44" fontId="1" fillId="0" borderId="1" xfId="2" applyFont="1" applyFill="1" applyBorder="1" applyProtection="1"/>
    <xf numFmtId="0" fontId="6" fillId="3" borderId="0" xfId="0" applyFont="1" applyFill="1" applyProtection="1"/>
    <xf numFmtId="44" fontId="6" fillId="6" borderId="1" xfId="2" applyFont="1" applyFill="1" applyBorder="1" applyProtection="1"/>
    <xf numFmtId="168" fontId="6" fillId="3" borderId="0" xfId="2" applyNumberFormat="1" applyFont="1" applyFill="1" applyProtection="1"/>
    <xf numFmtId="0" fontId="6" fillId="0" borderId="0" xfId="0" applyFont="1" applyProtection="1"/>
    <xf numFmtId="0" fontId="7" fillId="3" borderId="0" xfId="0" applyFont="1" applyFill="1" applyProtection="1"/>
    <xf numFmtId="168" fontId="6" fillId="3" borderId="0" xfId="2" applyNumberFormat="1" applyFont="1" applyFill="1" applyBorder="1" applyProtection="1"/>
    <xf numFmtId="0" fontId="6" fillId="0" borderId="0" xfId="0" applyFont="1" applyFill="1" applyProtection="1"/>
    <xf numFmtId="168" fontId="2" fillId="3" borderId="0" xfId="2" applyNumberFormat="1" applyFont="1" applyFill="1" applyBorder="1" applyProtection="1"/>
    <xf numFmtId="0" fontId="2" fillId="3" borderId="0" xfId="0" applyFont="1" applyFill="1" applyAlignment="1" applyProtection="1">
      <alignment horizontal="left"/>
    </xf>
    <xf numFmtId="0" fontId="0" fillId="0" borderId="0" xfId="0" applyFill="1" applyBorder="1" applyProtection="1"/>
    <xf numFmtId="44" fontId="1" fillId="0" borderId="0" xfId="2" applyProtection="1"/>
    <xf numFmtId="0" fontId="14" fillId="3" borderId="0" xfId="0" applyFont="1" applyFill="1" applyProtection="1"/>
    <xf numFmtId="0" fontId="14" fillId="3" borderId="0" xfId="0" applyFont="1" applyFill="1" applyBorder="1" applyProtection="1"/>
    <xf numFmtId="0" fontId="14" fillId="0" borderId="0" xfId="0" applyFont="1" applyProtection="1"/>
    <xf numFmtId="168" fontId="2" fillId="3" borderId="0" xfId="2" applyNumberFormat="1" applyFont="1" applyFill="1" applyProtection="1"/>
    <xf numFmtId="0" fontId="5" fillId="0" borderId="5" xfId="0" applyFont="1" applyFill="1" applyBorder="1" applyProtection="1"/>
    <xf numFmtId="0" fontId="13" fillId="3" borderId="0" xfId="0" applyFont="1" applyFill="1" applyProtection="1"/>
    <xf numFmtId="0" fontId="13" fillId="0" borderId="0" xfId="0" applyFont="1" applyProtection="1"/>
    <xf numFmtId="165" fontId="1" fillId="3" borderId="0" xfId="0" applyNumberFormat="1" applyFont="1" applyFill="1" applyBorder="1" applyProtection="1"/>
    <xf numFmtId="0" fontId="2" fillId="3" borderId="0" xfId="0" applyFont="1" applyFill="1" applyBorder="1" applyAlignment="1" applyProtection="1">
      <alignment horizontal="center" wrapText="1"/>
    </xf>
    <xf numFmtId="165" fontId="2" fillId="3" borderId="0" xfId="0" applyNumberFormat="1" applyFont="1" applyFill="1" applyBorder="1" applyAlignment="1" applyProtection="1">
      <alignment horizontal="center" wrapText="1"/>
    </xf>
    <xf numFmtId="0" fontId="2" fillId="3" borderId="0" xfId="0" applyFont="1" applyFill="1" applyBorder="1" applyAlignment="1" applyProtection="1">
      <alignment horizontal="center" vertical="center" wrapText="1"/>
    </xf>
    <xf numFmtId="0" fontId="2" fillId="3" borderId="0" xfId="0" applyFont="1" applyFill="1" applyAlignment="1" applyProtection="1">
      <alignment horizontal="center" wrapText="1"/>
    </xf>
    <xf numFmtId="0" fontId="2" fillId="3" borderId="0" xfId="0" applyFont="1" applyFill="1" applyAlignment="1" applyProtection="1">
      <alignment horizontal="center" vertical="center" wrapText="1"/>
    </xf>
    <xf numFmtId="0" fontId="2" fillId="3" borderId="0" xfId="0" applyFont="1" applyFill="1" applyAlignment="1" applyProtection="1">
      <alignment horizontal="center" vertical="center"/>
    </xf>
    <xf numFmtId="0" fontId="1" fillId="0" borderId="0" xfId="0" applyFont="1" applyFill="1" applyBorder="1" applyProtection="1"/>
    <xf numFmtId="44" fontId="0" fillId="6" borderId="1" xfId="2" applyFont="1" applyFill="1" applyBorder="1" applyProtection="1"/>
    <xf numFmtId="165" fontId="0" fillId="3" borderId="0" xfId="0" applyNumberFormat="1" applyFill="1" applyBorder="1" applyProtection="1"/>
    <xf numFmtId="44" fontId="2" fillId="6" borderId="1" xfId="2" applyFont="1" applyFill="1" applyBorder="1" applyAlignment="1" applyProtection="1">
      <alignment wrapText="1"/>
    </xf>
    <xf numFmtId="0" fontId="1" fillId="0" borderId="0" xfId="0" applyFont="1" applyFill="1" applyProtection="1"/>
    <xf numFmtId="0" fontId="15" fillId="3" borderId="0" xfId="0" applyFont="1" applyFill="1" applyBorder="1" applyProtection="1"/>
    <xf numFmtId="165" fontId="15" fillId="3" borderId="0" xfId="0" applyNumberFormat="1" applyFont="1" applyFill="1" applyBorder="1" applyProtection="1"/>
    <xf numFmtId="44" fontId="1" fillId="4" borderId="1" xfId="2" applyFont="1" applyFill="1" applyBorder="1" applyProtection="1"/>
    <xf numFmtId="165" fontId="7" fillId="3" borderId="0" xfId="0" applyNumberFormat="1" applyFont="1" applyFill="1" applyBorder="1" applyAlignment="1" applyProtection="1"/>
    <xf numFmtId="0" fontId="15" fillId="3" borderId="0" xfId="0" applyFont="1" applyFill="1" applyProtection="1"/>
    <xf numFmtId="164" fontId="0" fillId="3" borderId="0" xfId="0" applyNumberFormat="1" applyFill="1" applyBorder="1" applyAlignment="1" applyProtection="1"/>
    <xf numFmtId="0" fontId="0" fillId="3" borderId="0" xfId="0" applyFill="1" applyAlignment="1" applyProtection="1"/>
    <xf numFmtId="44" fontId="1" fillId="6" borderId="1" xfId="2" applyFill="1" applyBorder="1" applyProtection="1"/>
    <xf numFmtId="165" fontId="0" fillId="3" borderId="0" xfId="0" applyNumberFormat="1" applyFill="1" applyBorder="1" applyAlignment="1" applyProtection="1"/>
    <xf numFmtId="168" fontId="1" fillId="3" borderId="0" xfId="2" applyNumberFormat="1" applyFill="1" applyBorder="1" applyProtection="1"/>
    <xf numFmtId="0" fontId="16" fillId="3" borderId="0" xfId="0" applyFont="1" applyFill="1" applyProtection="1"/>
    <xf numFmtId="0" fontId="17" fillId="3" borderId="0" xfId="0" applyFont="1" applyFill="1" applyProtection="1"/>
    <xf numFmtId="49" fontId="0" fillId="3" borderId="0" xfId="0" applyNumberFormat="1" applyFill="1" applyProtection="1"/>
    <xf numFmtId="49" fontId="15" fillId="3" borderId="0" xfId="0" applyNumberFormat="1" applyFont="1" applyFill="1" applyProtection="1"/>
    <xf numFmtId="0" fontId="0" fillId="3" borderId="0" xfId="0" applyNumberFormat="1" applyFill="1" applyProtection="1"/>
    <xf numFmtId="167" fontId="0" fillId="3" borderId="0" xfId="0" applyNumberFormat="1" applyFill="1" applyBorder="1" applyProtection="1"/>
    <xf numFmtId="0" fontId="13" fillId="3" borderId="0" xfId="0" applyFont="1" applyFill="1" applyBorder="1" applyProtection="1"/>
    <xf numFmtId="49" fontId="13" fillId="3" borderId="0" xfId="0" applyNumberFormat="1" applyFont="1" applyFill="1" applyProtection="1"/>
    <xf numFmtId="0" fontId="7" fillId="3" borderId="0" xfId="0" applyFont="1" applyFill="1" applyBorder="1" applyProtection="1"/>
    <xf numFmtId="0" fontId="0" fillId="4" borderId="1" xfId="0" applyFill="1" applyBorder="1" applyAlignment="1" applyProtection="1">
      <alignment horizontal="center"/>
    </xf>
    <xf numFmtId="168" fontId="0" fillId="3" borderId="0" xfId="0" applyNumberFormat="1" applyFill="1" applyBorder="1" applyProtection="1"/>
    <xf numFmtId="165" fontId="0" fillId="0" borderId="0" xfId="0" applyNumberFormat="1" applyProtection="1"/>
    <xf numFmtId="44" fontId="0" fillId="4" borderId="1" xfId="2" applyFont="1" applyFill="1" applyBorder="1" applyProtection="1"/>
    <xf numFmtId="164" fontId="15" fillId="3" borderId="0" xfId="0" applyNumberFormat="1" applyFont="1" applyFill="1" applyProtection="1"/>
    <xf numFmtId="3" fontId="1" fillId="3" borderId="0" xfId="2" applyNumberFormat="1" applyFill="1" applyProtection="1"/>
    <xf numFmtId="49" fontId="15" fillId="3" borderId="0" xfId="0" applyNumberFormat="1" applyFont="1" applyFill="1" applyBorder="1" applyProtection="1"/>
    <xf numFmtId="166" fontId="1" fillId="3" borderId="5" xfId="0" applyNumberFormat="1" applyFont="1" applyFill="1" applyBorder="1" applyProtection="1"/>
    <xf numFmtId="49" fontId="0" fillId="3" borderId="5" xfId="0" applyNumberFormat="1" applyFill="1" applyBorder="1" applyProtection="1"/>
    <xf numFmtId="49" fontId="15" fillId="3" borderId="5" xfId="0" applyNumberFormat="1" applyFont="1" applyFill="1" applyBorder="1" applyProtection="1"/>
    <xf numFmtId="0" fontId="2" fillId="3" borderId="0" xfId="0" applyNumberFormat="1" applyFont="1" applyFill="1" applyProtection="1"/>
    <xf numFmtId="0" fontId="17" fillId="3" borderId="0" xfId="0" applyNumberFormat="1" applyFont="1" applyFill="1" applyBorder="1" applyProtection="1"/>
    <xf numFmtId="44" fontId="1" fillId="0" borderId="1" xfId="2" applyFont="1" applyBorder="1" applyProtection="1"/>
    <xf numFmtId="44" fontId="1" fillId="6" borderId="1" xfId="2" applyFont="1" applyFill="1" applyBorder="1" applyProtection="1"/>
    <xf numFmtId="166" fontId="1" fillId="0" borderId="0" xfId="0" applyNumberFormat="1" applyFont="1" applyBorder="1" applyProtection="1"/>
    <xf numFmtId="0" fontId="1" fillId="0" borderId="1" xfId="0" applyFont="1" applyBorder="1" applyProtection="1"/>
    <xf numFmtId="0" fontId="1" fillId="0" borderId="0" xfId="0" applyFont="1" applyProtection="1"/>
    <xf numFmtId="44" fontId="1" fillId="0" borderId="1" xfId="2" applyBorder="1" applyProtection="1"/>
    <xf numFmtId="44" fontId="22" fillId="6" borderId="1" xfId="2" applyFont="1" applyFill="1" applyBorder="1" applyProtection="1"/>
    <xf numFmtId="44" fontId="15" fillId="6" borderId="1" xfId="2" applyFont="1" applyFill="1" applyBorder="1" applyProtection="1"/>
    <xf numFmtId="164" fontId="4" fillId="3" borderId="0" xfId="0" applyNumberFormat="1" applyFont="1" applyFill="1" applyProtection="1"/>
    <xf numFmtId="0" fontId="18" fillId="3" borderId="0" xfId="0" applyFont="1" applyFill="1" applyProtection="1"/>
    <xf numFmtId="0" fontId="19" fillId="8" borderId="1" xfId="0" applyFont="1" applyFill="1" applyBorder="1" applyProtection="1">
      <protection locked="0"/>
    </xf>
    <xf numFmtId="44" fontId="0" fillId="2" borderId="1" xfId="2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44" fontId="0" fillId="2" borderId="1" xfId="2" applyFont="1" applyFill="1" applyBorder="1" applyAlignment="1" applyProtection="1">
      <alignment horizontal="left"/>
      <protection locked="0"/>
    </xf>
    <xf numFmtId="44" fontId="0" fillId="5" borderId="1" xfId="2" applyFont="1" applyFill="1" applyBorder="1" applyProtection="1">
      <protection locked="0"/>
    </xf>
    <xf numFmtId="0" fontId="0" fillId="0" borderId="0" xfId="0" applyProtection="1">
      <protection hidden="1"/>
    </xf>
    <xf numFmtId="0" fontId="0" fillId="0" borderId="0" xfId="0" applyBorder="1" applyProtection="1">
      <protection hidden="1"/>
    </xf>
    <xf numFmtId="0" fontId="0" fillId="3" borderId="0" xfId="0" applyFill="1" applyBorder="1" applyProtection="1">
      <protection hidden="1"/>
    </xf>
    <xf numFmtId="0" fontId="24" fillId="0" borderId="0" xfId="0" applyFont="1" applyBorder="1" applyProtection="1">
      <protection hidden="1"/>
    </xf>
    <xf numFmtId="0" fontId="6" fillId="3" borderId="0" xfId="0" applyFont="1" applyFill="1" applyProtection="1">
      <protection hidden="1"/>
    </xf>
    <xf numFmtId="0" fontId="6" fillId="0" borderId="0" xfId="0" applyFont="1" applyProtection="1">
      <protection hidden="1"/>
    </xf>
    <xf numFmtId="0" fontId="6" fillId="0" borderId="0" xfId="0" applyFont="1" applyFill="1" applyProtection="1">
      <protection hidden="1"/>
    </xf>
    <xf numFmtId="0" fontId="14" fillId="3" borderId="0" xfId="0" applyFont="1" applyFill="1" applyProtection="1">
      <protection hidden="1"/>
    </xf>
    <xf numFmtId="0" fontId="14" fillId="0" borderId="0" xfId="0" applyFont="1" applyProtection="1">
      <protection hidden="1"/>
    </xf>
    <xf numFmtId="0" fontId="13" fillId="3" borderId="0" xfId="0" applyFont="1" applyFill="1" applyProtection="1">
      <protection hidden="1"/>
    </xf>
    <xf numFmtId="0" fontId="13" fillId="0" borderId="0" xfId="0" applyFont="1" applyProtection="1">
      <protection hidden="1"/>
    </xf>
    <xf numFmtId="165" fontId="0" fillId="0" borderId="0" xfId="0" applyNumberFormat="1" applyBorder="1" applyProtection="1">
      <protection hidden="1"/>
    </xf>
    <xf numFmtId="0" fontId="17" fillId="3" borderId="0" xfId="0" applyFont="1" applyFill="1" applyProtection="1">
      <protection hidden="1"/>
    </xf>
    <xf numFmtId="0" fontId="0" fillId="3" borderId="0" xfId="0" applyNumberFormat="1" applyFill="1" applyProtection="1">
      <protection hidden="1"/>
    </xf>
    <xf numFmtId="0" fontId="13" fillId="3" borderId="0" xfId="0" applyNumberFormat="1" applyFont="1" applyFill="1" applyProtection="1">
      <protection hidden="1"/>
    </xf>
    <xf numFmtId="0" fontId="13" fillId="0" borderId="0" xfId="0" applyFont="1" applyBorder="1" applyProtection="1">
      <protection hidden="1"/>
    </xf>
    <xf numFmtId="0" fontId="24" fillId="3" borderId="0" xfId="0" applyNumberFormat="1" applyFont="1" applyFill="1" applyProtection="1">
      <protection hidden="1"/>
    </xf>
    <xf numFmtId="0" fontId="24" fillId="0" borderId="0" xfId="0" applyFont="1" applyProtection="1">
      <protection hidden="1"/>
    </xf>
    <xf numFmtId="49" fontId="24" fillId="3" borderId="0" xfId="0" applyNumberFormat="1" applyFont="1" applyFill="1" applyProtection="1">
      <protection hidden="1"/>
    </xf>
    <xf numFmtId="0" fontId="25" fillId="3" borderId="0" xfId="0" applyNumberFormat="1" applyFont="1" applyFill="1" applyProtection="1">
      <protection hidden="1"/>
    </xf>
    <xf numFmtId="168" fontId="24" fillId="3" borderId="0" xfId="2" applyNumberFormat="1" applyFont="1" applyFill="1" applyProtection="1">
      <protection hidden="1"/>
    </xf>
    <xf numFmtId="0" fontId="24" fillId="3" borderId="0" xfId="0" applyNumberFormat="1" applyFont="1" applyFill="1" applyBorder="1" applyProtection="1">
      <protection hidden="1"/>
    </xf>
    <xf numFmtId="0" fontId="0" fillId="3" borderId="0" xfId="0" applyNumberFormat="1" applyFill="1" applyBorder="1" applyProtection="1">
      <protection hidden="1"/>
    </xf>
    <xf numFmtId="0" fontId="16" fillId="3" borderId="0" xfId="0" applyNumberFormat="1" applyFont="1" applyFill="1" applyBorder="1" applyProtection="1">
      <protection hidden="1"/>
    </xf>
    <xf numFmtId="0" fontId="13" fillId="3" borderId="0" xfId="0" applyFont="1" applyFill="1" applyBorder="1" applyProtection="1">
      <protection hidden="1"/>
    </xf>
    <xf numFmtId="0" fontId="15" fillId="3" borderId="0" xfId="0" applyFont="1" applyFill="1" applyBorder="1" applyProtection="1">
      <protection hidden="1"/>
    </xf>
    <xf numFmtId="164" fontId="15" fillId="3" borderId="0" xfId="0" applyNumberFormat="1" applyFont="1" applyFill="1" applyBorder="1" applyProtection="1">
      <protection hidden="1"/>
    </xf>
    <xf numFmtId="164" fontId="26" fillId="3" borderId="0" xfId="0" applyNumberFormat="1" applyFont="1" applyFill="1" applyBorder="1" applyProtection="1">
      <protection hidden="1"/>
    </xf>
    <xf numFmtId="0" fontId="27" fillId="3" borderId="0" xfId="0" applyFont="1" applyFill="1" applyBorder="1" applyProtection="1">
      <protection hidden="1"/>
    </xf>
    <xf numFmtId="174" fontId="17" fillId="3" borderId="0" xfId="0" applyNumberFormat="1" applyFont="1" applyFill="1" applyBorder="1" applyProtection="1">
      <protection hidden="1"/>
    </xf>
    <xf numFmtId="0" fontId="17" fillId="3" borderId="0" xfId="0" applyFont="1" applyFill="1" applyBorder="1" applyProtection="1">
      <protection hidden="1"/>
    </xf>
    <xf numFmtId="176" fontId="15" fillId="3" borderId="0" xfId="0" applyNumberFormat="1" applyFont="1" applyFill="1" applyBorder="1" applyProtection="1">
      <protection hidden="1"/>
    </xf>
    <xf numFmtId="174" fontId="15" fillId="3" borderId="0" xfId="0" applyNumberFormat="1" applyFont="1" applyFill="1" applyBorder="1" applyAlignment="1" applyProtection="1">
      <alignment horizontal="right"/>
      <protection hidden="1"/>
    </xf>
    <xf numFmtId="169" fontId="15" fillId="3" borderId="0" xfId="0" applyNumberFormat="1" applyFont="1" applyFill="1" applyBorder="1" applyProtection="1">
      <protection hidden="1"/>
    </xf>
    <xf numFmtId="0" fontId="28" fillId="3" borderId="0" xfId="0" applyFont="1" applyFill="1" applyBorder="1" applyProtection="1">
      <protection hidden="1"/>
    </xf>
    <xf numFmtId="165" fontId="15" fillId="3" borderId="0" xfId="0" applyNumberFormat="1" applyFont="1" applyFill="1" applyBorder="1" applyProtection="1">
      <protection hidden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Fill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7" xfId="0" applyFont="1" applyBorder="1"/>
    <xf numFmtId="3" fontId="0" fillId="0" borderId="1" xfId="0" applyNumberFormat="1" applyBorder="1" applyAlignment="1">
      <alignment horizontal="center" vertical="center"/>
    </xf>
    <xf numFmtId="3" fontId="0" fillId="0" borderId="1" xfId="0" applyNumberFormat="1" applyFill="1" applyBorder="1" applyAlignment="1">
      <alignment horizontal="center" vertical="center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/>
    </xf>
    <xf numFmtId="3" fontId="0" fillId="0" borderId="9" xfId="0" applyNumberForma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3" fontId="0" fillId="0" borderId="11" xfId="0" applyNumberFormat="1" applyBorder="1" applyAlignment="1">
      <alignment horizontal="center" vertical="center"/>
    </xf>
    <xf numFmtId="0" fontId="0" fillId="0" borderId="12" xfId="0" applyNumberFormat="1" applyBorder="1" applyAlignment="1">
      <alignment vertical="center"/>
    </xf>
    <xf numFmtId="0" fontId="0" fillId="0" borderId="13" xfId="0" applyBorder="1"/>
    <xf numFmtId="2" fontId="2" fillId="0" borderId="14" xfId="0" applyNumberFormat="1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3" fontId="2" fillId="0" borderId="16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64" fontId="2" fillId="0" borderId="18" xfId="0" applyNumberFormat="1" applyFont="1" applyBorder="1" applyAlignment="1">
      <alignment horizontal="center" vertical="center" wrapText="1"/>
    </xf>
    <xf numFmtId="3" fontId="2" fillId="0" borderId="18" xfId="0" applyNumberFormat="1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0" fillId="0" borderId="19" xfId="0" applyNumberFormat="1" applyBorder="1" applyAlignment="1">
      <alignment horizontal="center" vertical="center" wrapText="1"/>
    </xf>
    <xf numFmtId="3" fontId="0" fillId="0" borderId="19" xfId="0" applyNumberFormat="1" applyFill="1" applyBorder="1" applyAlignment="1">
      <alignment horizontal="center" vertical="center"/>
    </xf>
    <xf numFmtId="178" fontId="0" fillId="0" borderId="20" xfId="0" applyNumberFormat="1" applyBorder="1" applyAlignment="1">
      <alignment vertical="center"/>
    </xf>
    <xf numFmtId="0" fontId="0" fillId="0" borderId="20" xfId="0" applyNumberFormat="1" applyBorder="1" applyAlignment="1">
      <alignment vertical="center"/>
    </xf>
    <xf numFmtId="0" fontId="2" fillId="0" borderId="21" xfId="0" applyFont="1" applyBorder="1" applyAlignment="1">
      <alignment horizontal="center" vertical="center" wrapText="1"/>
    </xf>
    <xf numFmtId="0" fontId="15" fillId="0" borderId="0" xfId="0" applyFont="1" applyProtection="1">
      <protection hidden="1"/>
    </xf>
    <xf numFmtId="0" fontId="15" fillId="0" borderId="0" xfId="0" applyFont="1" applyBorder="1" applyProtection="1">
      <protection hidden="1"/>
    </xf>
    <xf numFmtId="177" fontId="1" fillId="5" borderId="1" xfId="2" applyNumberFormat="1" applyFont="1" applyFill="1" applyBorder="1" applyProtection="1">
      <protection locked="0"/>
    </xf>
    <xf numFmtId="164" fontId="15" fillId="3" borderId="0" xfId="2" applyNumberFormat="1" applyFont="1" applyFill="1" applyBorder="1" applyProtection="1">
      <protection hidden="1"/>
    </xf>
    <xf numFmtId="164" fontId="15" fillId="0" borderId="0" xfId="0" applyNumberFormat="1" applyFont="1" applyProtection="1">
      <protection hidden="1"/>
    </xf>
    <xf numFmtId="164" fontId="15" fillId="0" borderId="0" xfId="0" applyNumberFormat="1" applyFont="1" applyBorder="1" applyProtection="1">
      <protection hidden="1"/>
    </xf>
    <xf numFmtId="0" fontId="2" fillId="0" borderId="0" xfId="0" applyFont="1" applyFill="1" applyAlignment="1">
      <alignment horizontal="center"/>
    </xf>
    <xf numFmtId="169" fontId="15" fillId="0" borderId="0" xfId="0" applyNumberFormat="1" applyFont="1" applyProtection="1">
      <protection hidden="1"/>
    </xf>
    <xf numFmtId="0" fontId="15" fillId="3" borderId="0" xfId="0" applyFont="1" applyFill="1" applyProtection="1">
      <protection hidden="1"/>
    </xf>
    <xf numFmtId="176" fontId="15" fillId="3" borderId="0" xfId="3" applyNumberFormat="1" applyFont="1" applyFill="1" applyProtection="1">
      <protection hidden="1"/>
    </xf>
    <xf numFmtId="171" fontId="1" fillId="0" borderId="1" xfId="2" applyNumberFormat="1" applyFont="1" applyFill="1" applyBorder="1" applyAlignment="1">
      <alignment horizontal="center"/>
    </xf>
    <xf numFmtId="176" fontId="23" fillId="3" borderId="0" xfId="0" applyNumberFormat="1" applyFont="1" applyFill="1" applyBorder="1" applyProtection="1">
      <protection hidden="1"/>
    </xf>
    <xf numFmtId="0" fontId="15" fillId="3" borderId="0" xfId="0" applyFont="1" applyFill="1" applyBorder="1" applyAlignment="1" applyProtection="1">
      <alignment horizontal="right"/>
      <protection hidden="1"/>
    </xf>
    <xf numFmtId="44" fontId="31" fillId="10" borderId="0" xfId="2" applyFont="1" applyFill="1" applyBorder="1" applyAlignment="1" applyProtection="1">
      <alignment horizontal="right"/>
      <protection hidden="1"/>
    </xf>
    <xf numFmtId="168" fontId="15" fillId="3" borderId="0" xfId="2" applyNumberFormat="1" applyFont="1" applyFill="1" applyBorder="1" applyAlignment="1" applyProtection="1">
      <alignment horizontal="right"/>
      <protection hidden="1"/>
    </xf>
    <xf numFmtId="44" fontId="15" fillId="3" borderId="0" xfId="2" applyFont="1" applyFill="1" applyBorder="1" applyAlignment="1" applyProtection="1">
      <alignment horizontal="right"/>
      <protection hidden="1"/>
    </xf>
    <xf numFmtId="0" fontId="2" fillId="11" borderId="0" xfId="0" applyFont="1" applyFill="1" applyAlignment="1">
      <alignment horizontal="center"/>
    </xf>
    <xf numFmtId="171" fontId="1" fillId="11" borderId="1" xfId="2" applyNumberFormat="1" applyFont="1" applyFill="1" applyBorder="1" applyAlignment="1">
      <alignment horizontal="center"/>
    </xf>
    <xf numFmtId="0" fontId="1" fillId="0" borderId="1" xfId="0" applyFont="1" applyBorder="1"/>
    <xf numFmtId="44" fontId="1" fillId="2" borderId="1" xfId="2" applyFont="1" applyFill="1" applyBorder="1"/>
    <xf numFmtId="172" fontId="1" fillId="0" borderId="1" xfId="1" applyNumberFormat="1" applyFont="1" applyFill="1" applyBorder="1" applyAlignment="1">
      <alignment horizontal="right"/>
    </xf>
    <xf numFmtId="44" fontId="1" fillId="9" borderId="1" xfId="0" applyNumberFormat="1" applyFont="1" applyFill="1" applyBorder="1"/>
    <xf numFmtId="171" fontId="1" fillId="0" borderId="1" xfId="1" applyNumberFormat="1" applyFont="1" applyFill="1" applyBorder="1" applyAlignment="1">
      <alignment horizontal="center"/>
    </xf>
    <xf numFmtId="171" fontId="1" fillId="0" borderId="1" xfId="1" applyNumberFormat="1" applyFont="1" applyBorder="1" applyAlignment="1">
      <alignment horizontal="center"/>
    </xf>
    <xf numFmtId="7" fontId="1" fillId="9" borderId="1" xfId="0" applyNumberFormat="1" applyFont="1" applyFill="1" applyBorder="1"/>
    <xf numFmtId="164" fontId="1" fillId="9" borderId="1" xfId="0" applyNumberFormat="1" applyFont="1" applyFill="1" applyBorder="1"/>
    <xf numFmtId="0" fontId="1" fillId="0" borderId="0" xfId="0" applyFont="1"/>
    <xf numFmtId="0" fontId="1" fillId="0" borderId="1" xfId="0" applyFont="1" applyFill="1" applyBorder="1"/>
    <xf numFmtId="0" fontId="1" fillId="11" borderId="0" xfId="0" applyFont="1" applyFill="1"/>
    <xf numFmtId="0" fontId="15" fillId="11" borderId="0" xfId="0" applyFont="1" applyFill="1" applyBorder="1" applyAlignment="1" applyProtection="1">
      <alignment horizontal="right"/>
      <protection hidden="1"/>
    </xf>
    <xf numFmtId="44" fontId="31" fillId="11" borderId="0" xfId="2" applyFont="1" applyFill="1" applyBorder="1" applyAlignment="1" applyProtection="1">
      <alignment horizontal="right"/>
      <protection hidden="1"/>
    </xf>
    <xf numFmtId="0" fontId="2" fillId="0" borderId="0" xfId="0" applyFont="1" applyAlignment="1">
      <alignment horizontal="center" wrapText="1"/>
    </xf>
    <xf numFmtId="0" fontId="1" fillId="12" borderId="22" xfId="0" applyFont="1" applyFill="1" applyBorder="1" applyProtection="1">
      <protection locked="0"/>
    </xf>
    <xf numFmtId="0" fontId="1" fillId="12" borderId="1" xfId="0" applyFont="1" applyFill="1" applyBorder="1" applyProtection="1">
      <protection locked="0"/>
    </xf>
    <xf numFmtId="0" fontId="19" fillId="12" borderId="1" xfId="0" applyFont="1" applyFill="1" applyBorder="1" applyProtection="1">
      <protection locked="0"/>
    </xf>
    <xf numFmtId="0" fontId="21" fillId="13" borderId="1" xfId="0" applyFont="1" applyFill="1" applyBorder="1" applyProtection="1">
      <protection locked="0"/>
    </xf>
    <xf numFmtId="0" fontId="1" fillId="0" borderId="0" xfId="0" applyFont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Fill="1"/>
    <xf numFmtId="170" fontId="1" fillId="0" borderId="0" xfId="1" applyNumberFormat="1" applyFont="1"/>
    <xf numFmtId="172" fontId="1" fillId="0" borderId="1" xfId="1" applyNumberFormat="1" applyFont="1" applyBorder="1" applyAlignment="1">
      <alignment horizontal="right"/>
    </xf>
    <xf numFmtId="172" fontId="1" fillId="0" borderId="1" xfId="2" applyNumberFormat="1" applyFont="1" applyBorder="1" applyAlignment="1">
      <alignment horizontal="right"/>
    </xf>
    <xf numFmtId="172" fontId="1" fillId="0" borderId="1" xfId="2" applyNumberFormat="1" applyFont="1" applyFill="1" applyBorder="1" applyAlignment="1">
      <alignment horizontal="right"/>
    </xf>
    <xf numFmtId="171" fontId="1" fillId="0" borderId="1" xfId="2" applyNumberFormat="1" applyFont="1" applyBorder="1" applyAlignment="1">
      <alignment horizontal="center"/>
    </xf>
    <xf numFmtId="168" fontId="1" fillId="0" borderId="0" xfId="2" applyNumberFormat="1" applyFont="1"/>
    <xf numFmtId="0" fontId="1" fillId="0" borderId="0" xfId="0" applyFont="1" applyAlignment="1">
      <alignment horizontal="center"/>
    </xf>
    <xf numFmtId="44" fontId="1" fillId="0" borderId="0" xfId="2" applyFont="1"/>
    <xf numFmtId="44" fontId="1" fillId="0" borderId="0" xfId="2" applyFont="1" applyFill="1"/>
    <xf numFmtId="173" fontId="1" fillId="0" borderId="0" xfId="2" applyNumberFormat="1" applyFont="1" applyFill="1"/>
    <xf numFmtId="0" fontId="1" fillId="0" borderId="0" xfId="0" applyFont="1" applyFill="1" applyBorder="1" applyAlignment="1">
      <alignment horizontal="center"/>
    </xf>
    <xf numFmtId="0" fontId="1" fillId="0" borderId="0" xfId="0" applyFont="1" applyBorder="1"/>
    <xf numFmtId="164" fontId="1" fillId="0" borderId="23" xfId="0" applyNumberFormat="1" applyFont="1" applyBorder="1" applyAlignment="1">
      <alignment wrapText="1"/>
    </xf>
    <xf numFmtId="164" fontId="1" fillId="0" borderId="3" xfId="0" applyNumberFormat="1" applyFont="1" applyBorder="1"/>
    <xf numFmtId="10" fontId="1" fillId="0" borderId="0" xfId="0" applyNumberFormat="1" applyFont="1"/>
    <xf numFmtId="3" fontId="1" fillId="0" borderId="0" xfId="0" applyNumberFormat="1" applyFont="1" applyBorder="1" applyAlignment="1">
      <alignment horizontal="right"/>
    </xf>
    <xf numFmtId="3" fontId="1" fillId="0" borderId="0" xfId="0" applyNumberFormat="1" applyFont="1" applyAlignment="1">
      <alignment horizontal="right"/>
    </xf>
    <xf numFmtId="175" fontId="1" fillId="0" borderId="1" xfId="0" applyNumberFormat="1" applyFont="1" applyBorder="1"/>
    <xf numFmtId="175" fontId="1" fillId="0" borderId="1" xfId="0" applyNumberFormat="1" applyFont="1" applyBorder="1" applyAlignment="1">
      <alignment horizontal="right"/>
    </xf>
    <xf numFmtId="2" fontId="1" fillId="0" borderId="0" xfId="0" applyNumberFormat="1" applyFont="1"/>
    <xf numFmtId="2" fontId="1" fillId="0" borderId="0" xfId="0" applyNumberFormat="1" applyFont="1" applyAlignment="1">
      <alignment horizontal="right"/>
    </xf>
    <xf numFmtId="0" fontId="1" fillId="6" borderId="0" xfId="0" applyFont="1" applyFill="1"/>
    <xf numFmtId="0" fontId="1" fillId="6" borderId="0" xfId="0" applyFont="1" applyFill="1" applyBorder="1" applyAlignment="1">
      <alignment horizontal="center"/>
    </xf>
    <xf numFmtId="2" fontId="1" fillId="0" borderId="0" xfId="0" applyNumberFormat="1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1" fillId="0" borderId="1" xfId="0" applyNumberFormat="1" applyFon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 wrapText="1"/>
    </xf>
    <xf numFmtId="2" fontId="1" fillId="0" borderId="1" xfId="0" applyNumberFormat="1" applyFont="1" applyBorder="1"/>
    <xf numFmtId="164" fontId="1" fillId="0" borderId="19" xfId="0" applyNumberFormat="1" applyFont="1" applyBorder="1" applyAlignment="1">
      <alignment horizontal="center" vertical="center" wrapText="1"/>
    </xf>
    <xf numFmtId="0" fontId="1" fillId="0" borderId="24" xfId="0" applyFont="1" applyBorder="1"/>
    <xf numFmtId="0" fontId="1" fillId="0" borderId="25" xfId="0" applyFont="1" applyBorder="1"/>
    <xf numFmtId="0" fontId="1" fillId="0" borderId="26" xfId="0" applyFont="1" applyBorder="1"/>
    <xf numFmtId="0" fontId="1" fillId="0" borderId="27" xfId="0" applyFont="1" applyBorder="1"/>
    <xf numFmtId="0" fontId="1" fillId="0" borderId="2" xfId="0" applyFont="1" applyBorder="1"/>
    <xf numFmtId="0" fontId="1" fillId="0" borderId="3" xfId="0" applyFont="1" applyBorder="1"/>
    <xf numFmtId="2" fontId="1" fillId="0" borderId="25" xfId="0" applyNumberFormat="1" applyFont="1" applyBorder="1"/>
    <xf numFmtId="175" fontId="1" fillId="0" borderId="1" xfId="0" applyNumberFormat="1" applyFont="1" applyFill="1" applyBorder="1"/>
    <xf numFmtId="2" fontId="1" fillId="0" borderId="1" xfId="0" applyNumberFormat="1" applyFont="1" applyFill="1" applyBorder="1"/>
    <xf numFmtId="0" fontId="1" fillId="0" borderId="25" xfId="0" applyFont="1" applyFill="1" applyBorder="1"/>
    <xf numFmtId="0" fontId="1" fillId="14" borderId="0" xfId="0" applyFont="1" applyFill="1"/>
    <xf numFmtId="0" fontId="2" fillId="14" borderId="1" xfId="0" applyFont="1" applyFill="1" applyBorder="1"/>
    <xf numFmtId="175" fontId="1" fillId="14" borderId="1" xfId="0" applyNumberFormat="1" applyFont="1" applyFill="1" applyBorder="1"/>
    <xf numFmtId="0" fontId="2" fillId="14" borderId="0" xfId="0" applyFont="1" applyFill="1" applyBorder="1"/>
    <xf numFmtId="0" fontId="1" fillId="14" borderId="0" xfId="0" applyFont="1" applyFill="1" applyBorder="1"/>
    <xf numFmtId="0" fontId="2" fillId="14" borderId="1" xfId="0" applyFont="1" applyFill="1" applyBorder="1" applyAlignment="1">
      <alignment horizontal="center" vertical="center" wrapText="1"/>
    </xf>
    <xf numFmtId="164" fontId="2" fillId="14" borderId="18" xfId="0" applyNumberFormat="1" applyFont="1" applyFill="1" applyBorder="1" applyAlignment="1">
      <alignment horizontal="center" vertical="center" wrapText="1"/>
    </xf>
    <xf numFmtId="3" fontId="2" fillId="14" borderId="1" xfId="0" applyNumberFormat="1" applyFont="1" applyFill="1" applyBorder="1" applyAlignment="1">
      <alignment horizontal="center" vertical="center" wrapText="1"/>
    </xf>
    <xf numFmtId="2" fontId="2" fillId="14" borderId="1" xfId="0" applyNumberFormat="1" applyFont="1" applyFill="1" applyBorder="1" applyAlignment="1">
      <alignment horizontal="center" vertical="center" wrapText="1"/>
    </xf>
    <xf numFmtId="164" fontId="1" fillId="14" borderId="1" xfId="0" applyNumberFormat="1" applyFont="1" applyFill="1" applyBorder="1" applyAlignment="1">
      <alignment horizontal="center" vertical="center" wrapText="1"/>
    </xf>
    <xf numFmtId="3" fontId="1" fillId="14" borderId="1" xfId="0" applyNumberFormat="1" applyFont="1" applyFill="1" applyBorder="1" applyAlignment="1">
      <alignment horizontal="right"/>
    </xf>
    <xf numFmtId="2" fontId="1" fillId="14" borderId="1" xfId="0" applyNumberFormat="1" applyFont="1" applyFill="1" applyBorder="1"/>
    <xf numFmtId="164" fontId="1" fillId="14" borderId="19" xfId="0" applyNumberFormat="1" applyFont="1" applyFill="1" applyBorder="1" applyAlignment="1">
      <alignment horizontal="center" vertical="center" wrapText="1"/>
    </xf>
    <xf numFmtId="0" fontId="2" fillId="14" borderId="7" xfId="0" applyFont="1" applyFill="1" applyBorder="1"/>
    <xf numFmtId="0" fontId="1" fillId="14" borderId="24" xfId="0" applyFont="1" applyFill="1" applyBorder="1"/>
    <xf numFmtId="0" fontId="1" fillId="14" borderId="25" xfId="0" applyFont="1" applyFill="1" applyBorder="1"/>
    <xf numFmtId="0" fontId="1" fillId="14" borderId="26" xfId="0" applyFont="1" applyFill="1" applyBorder="1"/>
    <xf numFmtId="0" fontId="1" fillId="14" borderId="27" xfId="0" applyFont="1" applyFill="1" applyBorder="1"/>
    <xf numFmtId="0" fontId="1" fillId="14" borderId="1" xfId="0" applyFont="1" applyFill="1" applyBorder="1"/>
    <xf numFmtId="0" fontId="1" fillId="14" borderId="2" xfId="0" applyFont="1" applyFill="1" applyBorder="1"/>
    <xf numFmtId="0" fontId="1" fillId="14" borderId="3" xfId="0" applyFont="1" applyFill="1" applyBorder="1"/>
    <xf numFmtId="0" fontId="2" fillId="14" borderId="0" xfId="0" applyFont="1" applyFill="1"/>
    <xf numFmtId="0" fontId="23" fillId="2" borderId="1" xfId="0" applyFon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165" fontId="0" fillId="3" borderId="0" xfId="0" applyNumberFormat="1" applyFill="1" applyBorder="1"/>
    <xf numFmtId="44" fontId="15" fillId="3" borderId="1" xfId="2" applyFont="1" applyFill="1" applyBorder="1" applyProtection="1">
      <protection hidden="1"/>
    </xf>
    <xf numFmtId="0" fontId="15" fillId="3" borderId="0" xfId="0" applyFont="1" applyFill="1"/>
    <xf numFmtId="166" fontId="1" fillId="3" borderId="0" xfId="0" applyNumberFormat="1" applyFont="1" applyFill="1"/>
    <xf numFmtId="166" fontId="15" fillId="3" borderId="0" xfId="0" applyNumberFormat="1" applyFont="1" applyFill="1"/>
    <xf numFmtId="0" fontId="15" fillId="3" borderId="0" xfId="0" applyNumberFormat="1" applyFont="1" applyFill="1" applyAlignment="1">
      <alignment horizontal="center"/>
    </xf>
    <xf numFmtId="0" fontId="1" fillId="4" borderId="1" xfId="2" applyNumberFormat="1" applyFill="1" applyBorder="1" applyAlignment="1" applyProtection="1">
      <alignment horizontal="left"/>
    </xf>
    <xf numFmtId="0" fontId="2" fillId="3" borderId="0" xfId="0" applyFont="1" applyFill="1" applyAlignment="1" applyProtection="1">
      <alignment horizontal="center"/>
    </xf>
    <xf numFmtId="0" fontId="2" fillId="0" borderId="0" xfId="0" applyFont="1" applyAlignment="1" applyProtection="1">
      <alignment horizontal="center"/>
    </xf>
    <xf numFmtId="0" fontId="17" fillId="3" borderId="0" xfId="0" applyFont="1" applyFill="1" applyBorder="1" applyAlignment="1" applyProtection="1">
      <protection hidden="1"/>
    </xf>
    <xf numFmtId="0" fontId="15" fillId="3" borderId="0" xfId="0" applyFont="1" applyFill="1" applyBorder="1" applyAlignment="1" applyProtection="1">
      <protection hidden="1"/>
    </xf>
    <xf numFmtId="0" fontId="17" fillId="3" borderId="0" xfId="0" applyFont="1" applyFill="1" applyBorder="1" applyAlignment="1" applyProtection="1">
      <alignment horizontal="center"/>
      <protection hidden="1"/>
    </xf>
    <xf numFmtId="0" fontId="15" fillId="3" borderId="0" xfId="0" applyFont="1" applyFill="1" applyBorder="1" applyAlignment="1" applyProtection="1">
      <alignment horizontal="center"/>
      <protection hidden="1"/>
    </xf>
    <xf numFmtId="0" fontId="9" fillId="0" borderId="0" xfId="0" applyFont="1" applyAlignment="1">
      <alignment vertical="center" wrapText="1" readingOrder="1"/>
    </xf>
    <xf numFmtId="0" fontId="1" fillId="0" borderId="0" xfId="0" applyFont="1" applyAlignment="1">
      <alignment vertical="center" wrapText="1" readingOrder="1"/>
    </xf>
    <xf numFmtId="0" fontId="2" fillId="0" borderId="0" xfId="0" applyFont="1" applyAlignment="1">
      <alignment horizontal="center" wrapText="1"/>
    </xf>
    <xf numFmtId="164" fontId="1" fillId="0" borderId="2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2" fillId="0" borderId="2" xfId="0" applyFont="1" applyBorder="1" applyAlignment="1">
      <alignment horizontal="center" wrapText="1"/>
    </xf>
    <xf numFmtId="0" fontId="1" fillId="0" borderId="23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64" fontId="0" fillId="0" borderId="28" xfId="0" applyNumberFormat="1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0" fontId="2" fillId="0" borderId="29" xfId="0" applyFont="1" applyBorder="1" applyAlignment="1">
      <alignment horizontal="center" wrapText="1"/>
    </xf>
    <xf numFmtId="0" fontId="2" fillId="0" borderId="24" xfId="0" applyFont="1" applyBorder="1" applyAlignment="1">
      <alignment horizontal="center" wrapText="1"/>
    </xf>
    <xf numFmtId="0" fontId="2" fillId="0" borderId="7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wrapText="1"/>
    </xf>
    <xf numFmtId="0" fontId="2" fillId="0" borderId="0" xfId="0" applyFont="1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30" xfId="0" applyBorder="1" applyAlignment="1">
      <alignment horizontal="center" wrapText="1"/>
    </xf>
    <xf numFmtId="164" fontId="2" fillId="0" borderId="31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64" fontId="0" fillId="0" borderId="2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0">
    <dxf>
      <font>
        <condense val="0"/>
        <extend val="0"/>
        <color indexed="9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condense val="0"/>
        <extend val="0"/>
        <color indexed="9"/>
      </font>
      <fill>
        <patternFill>
          <bgColor indexed="17"/>
        </patternFill>
      </fill>
    </dxf>
    <dxf>
      <font>
        <condense val="0"/>
        <extend val="0"/>
        <color indexed="8"/>
      </font>
      <fill>
        <patternFill patternType="none">
          <bgColor indexed="65"/>
        </patternFill>
      </fill>
    </dxf>
    <dxf>
      <font>
        <condense val="0"/>
        <extend val="0"/>
        <color indexed="9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8"/>
      </font>
      <fill>
        <patternFill>
          <bgColor indexed="4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G290"/>
  <sheetViews>
    <sheetView tabSelected="1" view="pageBreakPreview" zoomScale="85" zoomScaleNormal="100" zoomScaleSheetLayoutView="85" workbookViewId="0">
      <selection activeCell="E21" sqref="E21"/>
    </sheetView>
  </sheetViews>
  <sheetFormatPr defaultColWidth="8.85546875" defaultRowHeight="12.75" x14ac:dyDescent="0.2"/>
  <cols>
    <col min="1" max="1" width="9.85546875" style="25" customWidth="1"/>
    <col min="2" max="2" width="8.85546875" style="25" customWidth="1"/>
    <col min="3" max="3" width="16.85546875" style="25" customWidth="1"/>
    <col min="4" max="4" width="15" style="25" customWidth="1"/>
    <col min="5" max="5" width="20" style="25" customWidth="1"/>
    <col min="6" max="6" width="16.42578125" style="25" customWidth="1"/>
    <col min="7" max="7" width="17.42578125" style="25" customWidth="1"/>
    <col min="8" max="8" width="14" style="25" customWidth="1"/>
    <col min="9" max="9" width="17.85546875" style="25" customWidth="1"/>
    <col min="10" max="10" width="14.85546875" style="25" customWidth="1"/>
    <col min="11" max="11" width="14.28515625" style="132" hidden="1" customWidth="1"/>
    <col min="12" max="12" width="14.42578125" style="132" hidden="1" customWidth="1"/>
    <col min="13" max="13" width="17" style="132" hidden="1" customWidth="1"/>
    <col min="14" max="14" width="16.140625" style="132" hidden="1" customWidth="1"/>
    <col min="15" max="15" width="15.42578125" style="132" hidden="1" customWidth="1"/>
    <col min="16" max="16" width="14.7109375" style="132" hidden="1" customWidth="1"/>
    <col min="17" max="17" width="16.140625" style="132" hidden="1" customWidth="1"/>
    <col min="18" max="18" width="15.85546875" style="132" hidden="1" customWidth="1"/>
    <col min="19" max="28" width="15.7109375" style="132" hidden="1" customWidth="1"/>
    <col min="29" max="29" width="15.7109375" style="25" hidden="1" customWidth="1"/>
    <col min="30" max="30" width="0" style="25" hidden="1" customWidth="1"/>
    <col min="31" max="16384" width="8.85546875" style="25"/>
  </cols>
  <sheetData>
    <row r="1" spans="1:59" ht="18.75" thickBot="1" x14ac:dyDescent="0.3">
      <c r="A1" s="20" t="s">
        <v>0</v>
      </c>
      <c r="B1" s="21"/>
      <c r="C1" s="21"/>
      <c r="D1" s="21"/>
      <c r="E1" s="21"/>
      <c r="F1" s="21"/>
      <c r="G1" s="21"/>
      <c r="H1" s="22"/>
      <c r="I1" s="21"/>
      <c r="J1" s="23"/>
      <c r="K1" s="7"/>
      <c r="L1" s="157"/>
      <c r="M1" s="157"/>
      <c r="N1" s="157"/>
      <c r="O1" s="157"/>
      <c r="P1" s="157"/>
      <c r="Q1" s="157"/>
    </row>
    <row r="2" spans="1:59" ht="18" x14ac:dyDescent="0.25">
      <c r="A2" s="26"/>
      <c r="B2" s="27"/>
      <c r="C2" s="27"/>
      <c r="D2" s="27"/>
      <c r="E2" s="27"/>
      <c r="F2" s="27"/>
      <c r="G2" s="27"/>
      <c r="H2" s="28"/>
      <c r="I2" s="27"/>
      <c r="J2" s="24"/>
      <c r="K2" s="7"/>
      <c r="L2" s="157"/>
      <c r="M2" s="157"/>
      <c r="N2" s="157"/>
      <c r="O2" s="157"/>
      <c r="P2" s="157"/>
      <c r="Q2" s="157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29"/>
      <c r="AD2" s="29"/>
      <c r="AE2" s="29"/>
      <c r="AF2" s="29"/>
      <c r="AG2" s="29"/>
      <c r="AH2" s="29"/>
      <c r="AI2" s="29"/>
      <c r="AJ2" s="29"/>
      <c r="AK2" s="29"/>
      <c r="AL2" s="29"/>
      <c r="AM2" s="29"/>
      <c r="AN2" s="29"/>
      <c r="AO2" s="29"/>
      <c r="AP2" s="29"/>
      <c r="AQ2" s="29"/>
      <c r="AR2" s="29"/>
      <c r="AS2" s="29"/>
      <c r="AT2" s="29"/>
      <c r="AU2" s="29"/>
      <c r="AV2" s="29"/>
      <c r="AW2" s="29"/>
      <c r="AX2" s="29"/>
      <c r="AY2" s="29"/>
      <c r="AZ2" s="29"/>
      <c r="BA2" s="29"/>
      <c r="BB2" s="29"/>
      <c r="BC2" s="29"/>
      <c r="BD2" s="29"/>
      <c r="BE2" s="29"/>
      <c r="BF2" s="29"/>
      <c r="BG2" s="29"/>
    </row>
    <row r="3" spans="1:59" s="30" customFormat="1" ht="18.75" thickBot="1" x14ac:dyDescent="0.3">
      <c r="A3" s="20" t="s">
        <v>1</v>
      </c>
      <c r="B3" s="21"/>
      <c r="C3" s="21"/>
      <c r="D3" s="21"/>
      <c r="E3" s="21"/>
      <c r="F3" s="21"/>
      <c r="G3" s="21"/>
      <c r="H3" s="22"/>
      <c r="I3" s="21"/>
      <c r="J3" s="21"/>
      <c r="K3" s="134"/>
      <c r="L3" s="157"/>
      <c r="M3" s="157"/>
      <c r="N3" s="157"/>
      <c r="O3" s="157"/>
      <c r="P3" s="157"/>
      <c r="Q3" s="157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29"/>
      <c r="AD3" s="29"/>
      <c r="AE3" s="29"/>
      <c r="AF3" s="29"/>
      <c r="AG3" s="29"/>
      <c r="AH3" s="29"/>
      <c r="AI3" s="29"/>
      <c r="AJ3" s="29"/>
      <c r="AK3" s="29"/>
      <c r="AL3" s="29"/>
      <c r="AM3" s="29"/>
      <c r="AN3" s="29"/>
      <c r="AO3" s="29"/>
      <c r="AP3" s="29"/>
      <c r="AQ3" s="29"/>
      <c r="AR3" s="29"/>
      <c r="AS3" s="29"/>
      <c r="AT3" s="29"/>
      <c r="AU3" s="29"/>
      <c r="AV3" s="29"/>
      <c r="AW3" s="29"/>
      <c r="AX3" s="29"/>
      <c r="AY3" s="29"/>
      <c r="AZ3" s="29"/>
      <c r="BA3" s="29"/>
      <c r="BB3" s="29"/>
      <c r="BC3" s="29"/>
      <c r="BD3" s="29"/>
      <c r="BE3" s="29"/>
      <c r="BF3" s="29"/>
      <c r="BG3" s="29"/>
    </row>
    <row r="4" spans="1:59" x14ac:dyDescent="0.2">
      <c r="A4" s="31" t="s">
        <v>2</v>
      </c>
      <c r="B4" s="24"/>
      <c r="C4" s="24"/>
      <c r="D4" s="24"/>
      <c r="E4" s="229"/>
      <c r="F4" s="24"/>
      <c r="G4" s="24"/>
      <c r="H4" s="24"/>
      <c r="I4" s="24"/>
      <c r="J4" s="27"/>
      <c r="K4" s="134"/>
      <c r="L4" s="158"/>
      <c r="M4" s="158"/>
      <c r="N4" s="157"/>
      <c r="O4" s="158"/>
      <c r="P4" s="157"/>
      <c r="Q4" s="157"/>
      <c r="R4" s="133"/>
      <c r="S4" s="133"/>
      <c r="T4" s="133"/>
      <c r="U4" s="133"/>
      <c r="V4" s="133"/>
      <c r="W4" s="133"/>
      <c r="X4" s="133"/>
      <c r="Y4" s="133"/>
      <c r="Z4" s="133"/>
      <c r="AA4" s="133"/>
      <c r="AB4" s="133"/>
      <c r="AC4" s="29"/>
      <c r="AD4" s="29"/>
      <c r="AE4" s="29"/>
      <c r="AF4" s="29"/>
      <c r="AG4" s="29"/>
      <c r="AH4" s="29"/>
      <c r="AI4" s="29"/>
      <c r="AJ4" s="29"/>
      <c r="AK4" s="29"/>
      <c r="AL4" s="29"/>
      <c r="AM4" s="29"/>
      <c r="AN4" s="29"/>
      <c r="AO4" s="29"/>
      <c r="AP4" s="29"/>
      <c r="AQ4" s="29"/>
      <c r="AR4" s="29"/>
      <c r="AS4" s="29"/>
      <c r="AT4" s="29"/>
      <c r="AU4" s="29"/>
      <c r="AV4" s="29"/>
      <c r="AW4" s="29"/>
      <c r="AX4" s="29"/>
      <c r="AY4" s="29"/>
      <c r="AZ4" s="29"/>
      <c r="BA4" s="29"/>
      <c r="BB4" s="29"/>
      <c r="BC4" s="29"/>
      <c r="BD4" s="29"/>
      <c r="BE4" s="29"/>
      <c r="BF4" s="29"/>
      <c r="BG4" s="29"/>
    </row>
    <row r="5" spans="1:59" x14ac:dyDescent="0.2">
      <c r="A5" s="32" t="s">
        <v>3</v>
      </c>
      <c r="B5" s="33"/>
      <c r="C5" s="33"/>
      <c r="D5" s="24"/>
      <c r="E5" s="226"/>
      <c r="F5" s="24"/>
      <c r="G5" s="24"/>
      <c r="H5" s="24"/>
      <c r="I5" s="24"/>
      <c r="J5" s="24"/>
      <c r="K5" s="7"/>
      <c r="L5" s="157"/>
      <c r="M5" s="157"/>
      <c r="N5" s="157"/>
      <c r="O5" s="157"/>
      <c r="P5" s="157"/>
      <c r="Q5" s="157"/>
      <c r="R5" s="133"/>
      <c r="S5" s="133"/>
      <c r="T5" s="133"/>
      <c r="U5" s="133"/>
      <c r="V5" s="133"/>
      <c r="W5" s="133"/>
      <c r="X5" s="133"/>
      <c r="Y5" s="133"/>
      <c r="Z5" s="133"/>
      <c r="AA5" s="133"/>
      <c r="AB5" s="133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  <c r="AQ5" s="29"/>
      <c r="AR5" s="29"/>
      <c r="AS5" s="29"/>
      <c r="AT5" s="29"/>
      <c r="AU5" s="29"/>
      <c r="AV5" s="29"/>
      <c r="AW5" s="29"/>
      <c r="AX5" s="29"/>
      <c r="AY5" s="29"/>
      <c r="AZ5" s="29"/>
      <c r="BA5" s="29"/>
      <c r="BB5" s="29"/>
      <c r="BC5" s="29"/>
      <c r="BD5" s="29"/>
      <c r="BE5" s="29"/>
      <c r="BF5" s="29"/>
      <c r="BG5" s="29"/>
    </row>
    <row r="6" spans="1:59" ht="12.75" customHeight="1" x14ac:dyDescent="0.2">
      <c r="A6" s="32" t="s">
        <v>4</v>
      </c>
      <c r="B6" s="33"/>
      <c r="C6" s="33"/>
      <c r="D6" s="24"/>
      <c r="E6" s="227"/>
      <c r="F6" s="24"/>
      <c r="G6" s="24"/>
      <c r="H6" s="24"/>
      <c r="I6" s="24"/>
      <c r="J6" s="24"/>
      <c r="K6" s="7"/>
      <c r="L6" s="157"/>
      <c r="M6" s="157"/>
      <c r="N6" s="157"/>
      <c r="O6" s="157"/>
      <c r="P6" s="157"/>
      <c r="Q6" s="157"/>
    </row>
    <row r="7" spans="1:59" x14ac:dyDescent="0.2">
      <c r="A7" s="32" t="s">
        <v>5</v>
      </c>
      <c r="B7" s="33"/>
      <c r="C7" s="33"/>
      <c r="D7" s="24"/>
      <c r="E7" s="228"/>
      <c r="F7" s="24"/>
      <c r="G7" s="24"/>
      <c r="H7" s="24"/>
      <c r="I7" s="24"/>
      <c r="J7" s="24"/>
      <c r="K7" s="7"/>
      <c r="L7" s="157"/>
      <c r="M7" s="157"/>
      <c r="N7" s="157"/>
      <c r="O7" s="157"/>
      <c r="P7" s="157"/>
      <c r="Q7" s="157"/>
    </row>
    <row r="8" spans="1:59" x14ac:dyDescent="0.2">
      <c r="A8" s="32" t="s">
        <v>6</v>
      </c>
      <c r="B8" s="33"/>
      <c r="C8" s="33"/>
      <c r="D8" s="24"/>
      <c r="E8" s="228"/>
      <c r="F8" s="24"/>
      <c r="G8" s="24"/>
      <c r="H8" s="24"/>
      <c r="I8" s="24"/>
      <c r="J8" s="24"/>
      <c r="K8" s="7"/>
      <c r="L8" s="157"/>
      <c r="M8" s="157"/>
      <c r="N8" s="157"/>
      <c r="O8" s="157"/>
      <c r="P8" s="157"/>
      <c r="Q8" s="157"/>
    </row>
    <row r="9" spans="1:59" x14ac:dyDescent="0.2">
      <c r="A9" s="32" t="s">
        <v>7</v>
      </c>
      <c r="B9" s="33"/>
      <c r="C9" s="33"/>
      <c r="D9" s="24"/>
      <c r="E9" s="227"/>
      <c r="F9" s="24"/>
      <c r="G9" s="24"/>
      <c r="H9" s="24"/>
      <c r="I9" s="24"/>
      <c r="J9" s="24"/>
      <c r="K9" s="7"/>
      <c r="L9" s="157"/>
      <c r="M9" s="157"/>
      <c r="N9" s="157"/>
      <c r="O9" s="157"/>
      <c r="P9" s="157"/>
      <c r="Q9" s="157"/>
    </row>
    <row r="10" spans="1:59" x14ac:dyDescent="0.2">
      <c r="A10" s="33" t="s">
        <v>8</v>
      </c>
      <c r="B10" s="33"/>
      <c r="C10" s="33"/>
      <c r="D10" s="24"/>
      <c r="E10" s="228"/>
      <c r="F10" s="24"/>
      <c r="G10" s="24"/>
      <c r="H10" s="24"/>
      <c r="I10" s="24"/>
      <c r="J10" s="24"/>
      <c r="K10" s="7"/>
      <c r="L10" s="157"/>
      <c r="M10" s="157"/>
      <c r="N10" s="157"/>
      <c r="O10" s="157"/>
      <c r="P10" s="157"/>
      <c r="Q10" s="157"/>
    </row>
    <row r="11" spans="1:59" x14ac:dyDescent="0.2">
      <c r="A11" s="33" t="s">
        <v>9</v>
      </c>
      <c r="B11" s="33"/>
      <c r="C11" s="33"/>
      <c r="D11" s="24"/>
      <c r="E11" s="228"/>
      <c r="F11" s="24"/>
      <c r="G11" s="24"/>
      <c r="H11" s="24"/>
      <c r="I11" s="24"/>
      <c r="J11" s="24"/>
      <c r="K11" s="7"/>
      <c r="L11" s="157"/>
      <c r="M11" s="157"/>
      <c r="N11" s="157"/>
      <c r="O11" s="157"/>
      <c r="P11" s="157"/>
      <c r="Q11" s="157"/>
    </row>
    <row r="12" spans="1:59" x14ac:dyDescent="0.2">
      <c r="A12" s="33" t="s">
        <v>10</v>
      </c>
      <c r="B12" s="33"/>
      <c r="C12" s="33"/>
      <c r="D12" s="24"/>
      <c r="E12" s="228"/>
      <c r="F12" s="24"/>
      <c r="G12" s="24"/>
      <c r="H12" s="24"/>
      <c r="I12" s="24"/>
      <c r="J12" s="24"/>
      <c r="K12" s="7"/>
      <c r="L12" s="157"/>
      <c r="M12" s="157"/>
      <c r="N12" s="157"/>
      <c r="O12" s="157"/>
      <c r="P12" s="157"/>
      <c r="Q12" s="157"/>
    </row>
    <row r="13" spans="1:59" x14ac:dyDescent="0.2">
      <c r="A13" s="33" t="s">
        <v>11</v>
      </c>
      <c r="B13" s="33"/>
      <c r="C13" s="33"/>
      <c r="D13" s="24"/>
      <c r="E13" s="34" t="e">
        <f>E11/E10</f>
        <v>#DIV/0!</v>
      </c>
      <c r="F13" s="24"/>
      <c r="H13" s="24"/>
      <c r="I13" s="24"/>
      <c r="J13" s="24"/>
      <c r="K13" s="7"/>
      <c r="L13" s="157"/>
      <c r="M13" s="157"/>
      <c r="N13" s="157"/>
      <c r="O13" s="157"/>
      <c r="P13" s="157"/>
      <c r="Q13" s="157"/>
    </row>
    <row r="14" spans="1:59" x14ac:dyDescent="0.2">
      <c r="A14" s="33"/>
      <c r="B14" s="33"/>
      <c r="C14" s="33"/>
      <c r="D14" s="24"/>
      <c r="E14" s="35"/>
      <c r="F14" s="24"/>
      <c r="G14" s="24"/>
      <c r="H14" s="24"/>
      <c r="I14" s="24"/>
      <c r="J14" s="24"/>
      <c r="K14" s="7"/>
      <c r="L14" s="157"/>
      <c r="M14" s="157"/>
      <c r="N14" s="157"/>
      <c r="O14" s="157"/>
      <c r="P14" s="157"/>
      <c r="Q14" s="157"/>
    </row>
    <row r="15" spans="1:59" x14ac:dyDescent="0.2">
      <c r="A15" s="32" t="s">
        <v>12</v>
      </c>
      <c r="B15" s="24"/>
      <c r="C15" s="24"/>
      <c r="D15" s="24"/>
      <c r="E15" s="125"/>
      <c r="F15" s="24"/>
      <c r="G15" s="24"/>
      <c r="H15" s="24"/>
      <c r="I15" s="24"/>
      <c r="J15" s="24"/>
      <c r="K15" s="7"/>
      <c r="L15" s="157"/>
      <c r="M15" s="157"/>
      <c r="N15" s="157"/>
      <c r="O15" s="157"/>
      <c r="P15" s="157"/>
      <c r="Q15" s="157"/>
    </row>
    <row r="16" spans="1:59" x14ac:dyDescent="0.2">
      <c r="A16" s="24" t="s">
        <v>13</v>
      </c>
      <c r="B16" s="24"/>
      <c r="C16" s="24"/>
      <c r="D16" s="36" t="s">
        <v>14</v>
      </c>
      <c r="E16" s="295"/>
      <c r="F16" s="24"/>
      <c r="G16" s="24"/>
      <c r="H16" s="24"/>
      <c r="I16" s="24"/>
      <c r="J16" s="24"/>
      <c r="K16" s="7"/>
      <c r="L16" s="157"/>
      <c r="M16" s="157"/>
      <c r="N16" s="157"/>
      <c r="O16" s="157"/>
      <c r="P16" s="157"/>
      <c r="Q16" s="157"/>
    </row>
    <row r="17" spans="1:17" x14ac:dyDescent="0.2">
      <c r="A17" s="24" t="s">
        <v>15</v>
      </c>
      <c r="B17" s="24"/>
      <c r="C17" s="24"/>
      <c r="D17" s="36" t="s">
        <v>14</v>
      </c>
      <c r="E17" s="296"/>
      <c r="F17" s="24"/>
      <c r="G17" s="24"/>
      <c r="H17" s="24"/>
      <c r="I17" s="24"/>
      <c r="J17" s="24"/>
      <c r="K17" s="7"/>
      <c r="L17" s="157"/>
      <c r="M17" s="157"/>
      <c r="N17" s="157"/>
      <c r="O17" s="157"/>
      <c r="P17" s="157"/>
      <c r="Q17" s="157"/>
    </row>
    <row r="18" spans="1:17" x14ac:dyDescent="0.2">
      <c r="A18" s="37" t="s">
        <v>16</v>
      </c>
      <c r="B18" s="24"/>
      <c r="C18" s="24"/>
      <c r="D18" s="36" t="s">
        <v>14</v>
      </c>
      <c r="E18" s="38">
        <f>E16-1</f>
        <v>-1</v>
      </c>
      <c r="F18" s="24"/>
      <c r="G18" s="24"/>
      <c r="H18" s="24"/>
      <c r="I18" s="24"/>
      <c r="J18" s="24"/>
      <c r="K18" s="7"/>
      <c r="L18" s="157"/>
      <c r="M18" s="157"/>
      <c r="N18" s="157"/>
      <c r="O18" s="157"/>
      <c r="P18" s="157"/>
      <c r="Q18" s="157"/>
    </row>
    <row r="19" spans="1:17" x14ac:dyDescent="0.2">
      <c r="A19" s="24"/>
      <c r="B19" s="24"/>
      <c r="C19" s="24"/>
      <c r="D19" s="24"/>
      <c r="E19" s="24"/>
      <c r="F19" s="24"/>
      <c r="G19" s="24"/>
      <c r="H19" s="24"/>
      <c r="I19" s="24"/>
      <c r="J19" s="24"/>
      <c r="K19" s="7"/>
      <c r="L19" s="159"/>
      <c r="M19" s="158"/>
      <c r="N19" s="157"/>
      <c r="O19" s="158"/>
      <c r="P19" s="157"/>
      <c r="Q19" s="157"/>
    </row>
    <row r="20" spans="1:17" x14ac:dyDescent="0.2">
      <c r="A20" s="33" t="s">
        <v>17</v>
      </c>
      <c r="B20" s="33"/>
      <c r="C20" s="33"/>
      <c r="D20" s="24"/>
      <c r="E20" s="16"/>
      <c r="F20" s="39"/>
      <c r="G20" s="24"/>
      <c r="H20" s="24"/>
      <c r="I20" s="24"/>
      <c r="J20" s="24"/>
      <c r="K20" s="7"/>
      <c r="L20" s="157"/>
      <c r="M20" s="157"/>
      <c r="N20" s="157"/>
      <c r="O20" s="157"/>
      <c r="P20" s="157"/>
      <c r="Q20" s="157"/>
    </row>
    <row r="21" spans="1:17" x14ac:dyDescent="0.2">
      <c r="A21" s="33" t="s">
        <v>18</v>
      </c>
      <c r="B21" s="33"/>
      <c r="C21" s="33"/>
      <c r="D21" s="24"/>
      <c r="E21" s="17">
        <v>0</v>
      </c>
      <c r="F21" s="24"/>
      <c r="G21" s="24"/>
      <c r="H21" s="24"/>
      <c r="I21" s="24"/>
      <c r="J21" s="24"/>
      <c r="K21" s="7"/>
      <c r="L21" s="157"/>
      <c r="M21" s="157"/>
      <c r="N21" s="157"/>
      <c r="O21" s="157"/>
      <c r="P21" s="157"/>
      <c r="Q21" s="157"/>
    </row>
    <row r="22" spans="1:17" x14ac:dyDescent="0.2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7"/>
      <c r="L22" s="157"/>
      <c r="M22" s="157"/>
      <c r="N22" s="157"/>
      <c r="O22" s="157"/>
      <c r="P22" s="157"/>
      <c r="Q22" s="157"/>
    </row>
    <row r="23" spans="1:17" ht="18.75" thickBot="1" x14ac:dyDescent="0.3">
      <c r="A23" s="40" t="s">
        <v>19</v>
      </c>
      <c r="B23" s="30"/>
      <c r="C23" s="30"/>
      <c r="D23" s="30"/>
      <c r="E23" s="30"/>
      <c r="F23" s="30"/>
      <c r="G23" s="30"/>
      <c r="H23" s="30"/>
      <c r="I23" s="30"/>
      <c r="J23" s="41"/>
      <c r="K23" s="6"/>
      <c r="L23" s="157"/>
      <c r="M23" s="157"/>
      <c r="N23" s="157"/>
      <c r="O23" s="157"/>
      <c r="P23" s="157"/>
      <c r="Q23" s="157"/>
    </row>
    <row r="24" spans="1:17" x14ac:dyDescent="0.2">
      <c r="A24" s="43"/>
      <c r="B24" s="44"/>
      <c r="C24" s="24"/>
      <c r="D24" s="24"/>
      <c r="E24" s="24"/>
      <c r="F24" s="24"/>
      <c r="G24" s="24"/>
      <c r="H24" s="24"/>
      <c r="I24" s="24"/>
      <c r="J24" s="39"/>
      <c r="K24" s="6"/>
      <c r="L24" s="157"/>
      <c r="M24" s="157"/>
      <c r="N24" s="157"/>
      <c r="O24" s="157"/>
      <c r="P24" s="157"/>
      <c r="Q24" s="157"/>
    </row>
    <row r="25" spans="1:17" x14ac:dyDescent="0.2">
      <c r="A25" s="45" t="s">
        <v>20</v>
      </c>
      <c r="B25" s="24"/>
      <c r="C25" s="24"/>
      <c r="D25" s="24"/>
      <c r="E25" s="46" t="s">
        <v>21</v>
      </c>
      <c r="F25" s="47"/>
      <c r="G25" s="46" t="s">
        <v>22</v>
      </c>
      <c r="H25" s="45"/>
      <c r="I25" s="46" t="s">
        <v>23</v>
      </c>
      <c r="J25" s="39"/>
      <c r="K25" s="6"/>
      <c r="L25" s="157"/>
      <c r="M25" s="157"/>
      <c r="N25" s="157"/>
      <c r="O25" s="157"/>
      <c r="P25" s="157"/>
      <c r="Q25" s="157"/>
    </row>
    <row r="26" spans="1:17" x14ac:dyDescent="0.2">
      <c r="A26" s="24"/>
      <c r="B26" s="24"/>
      <c r="C26" s="24"/>
      <c r="D26" s="24"/>
      <c r="E26" s="46" t="s">
        <v>24</v>
      </c>
      <c r="F26" s="47"/>
      <c r="G26" s="46" t="s">
        <v>25</v>
      </c>
      <c r="H26" s="47"/>
      <c r="I26" s="46" t="s">
        <v>26</v>
      </c>
      <c r="J26" s="39"/>
      <c r="K26" s="7"/>
      <c r="L26" s="206" t="s">
        <v>27</v>
      </c>
      <c r="M26" s="208" t="s">
        <v>28</v>
      </c>
      <c r="N26" s="206" t="s">
        <v>29</v>
      </c>
      <c r="O26" s="206" t="s">
        <v>30</v>
      </c>
      <c r="P26" s="223" t="s">
        <v>31</v>
      </c>
      <c r="Q26" s="157"/>
    </row>
    <row r="27" spans="1:17" x14ac:dyDescent="0.2">
      <c r="A27" s="33" t="s">
        <v>32</v>
      </c>
      <c r="B27" s="24"/>
      <c r="C27" s="24"/>
      <c r="D27" s="24"/>
      <c r="E27" s="126">
        <v>0</v>
      </c>
      <c r="F27" s="24"/>
      <c r="G27" s="48" t="e">
        <f>IF($E$13&lt;6,0,L27)</f>
        <v>#DIV/0!</v>
      </c>
      <c r="H27" s="49"/>
      <c r="I27" s="50" t="e">
        <f>IF(E27&lt;G27,E27,G27)</f>
        <v>#DIV/0!</v>
      </c>
      <c r="J27" s="39"/>
      <c r="K27" s="7"/>
      <c r="L27" s="209" t="str">
        <f>IF(M27="FALSE",(IF(N27="FALSE",(IF(O27="FALSE",(IF(P27="FALSE",M27,P27)),O27)),N27)),M27)</f>
        <v>FALSE</v>
      </c>
      <c r="M27" s="209" t="str">
        <f>IF($E$17=1998,$E$12*PIOC_FACTORS!B10*12,IF($E$17=1999,$E$12*PIOC_FACTORS!D10*12,IF($E$17=2000,$E$12*PIOC_FACTORS!F10*12,IF($E$17=2001,$E$12*PIOC_FACTORS!H10*12,IF($E$17=2002,$E$12*PIOC_FACTORS!J10*12,IF($E$17=2003,$E$12*PIOC_FACTORS!L10*12,"FALSE"))))))</f>
        <v>FALSE</v>
      </c>
      <c r="N27" s="209" t="str">
        <f>IF($E$17=2004,$E$12*PIOC_FACTORS!N10*12,IF($E$17=2005,$E$12*PIOC_FACTORS!P10*12,IF($E$17=2006,$E$12*PIOC_FACTORS!R10*12,IF($E$17=2007,$E$12*PIOC_FACTORS!T10*12,IF($E$17=2008,$E$12*PIOC_FACTORS!V10*12,IF($E$17=2009,$E$12*PIOC_FACTORS!X10*12,IF($E$17=2010,$E$12*PIOC_FACTORS!Z10*12,"FALSE")))))))</f>
        <v>FALSE</v>
      </c>
      <c r="O27" s="207" t="str">
        <f>IF($E$17=2011,$E$12*PIOC_FACTORS!AB10*12,IF($E$17=2012,$E$12*PIOC_FACTORS!AD10*12,IF($E$17=2013,$E$12*PIOC_FACTORS!AF10*12,IF($E$17=2014,$E$12*PIOC_FACTORS!AH10*12,"FALSE"))))</f>
        <v>FALSE</v>
      </c>
      <c r="P27" s="224" t="str">
        <f>IF($E$17=2015,$E$12*PIOC_FACTORS!AJ10*12,IF($E$17=2016,$E$12*PIOC_FACTORS!AL10*12,IF($E$17=2017,$E$12*PIOC_FACTORS!AN10*12,IF($E$17=2018,$E$12*PIOC_FACTORS!AP10*12,IF($E$17=2019,$E$12*PIOC_FACTORS!AR10*12,IF($E$17=2020,$E$12*PIOC_FACTORS!AT10*12,IF($E$17=2021,$E$12*PIOC_FACTORS!AV10*12,"FALSE")))))))</f>
        <v>FALSE</v>
      </c>
      <c r="Q27" s="157"/>
    </row>
    <row r="28" spans="1:17" x14ac:dyDescent="0.2">
      <c r="A28" s="33" t="s">
        <v>33</v>
      </c>
      <c r="B28" s="24"/>
      <c r="C28" s="24"/>
      <c r="D28" s="24"/>
      <c r="E28" s="126">
        <v>0</v>
      </c>
      <c r="F28" s="24"/>
      <c r="G28" s="48" t="str">
        <f>L28</f>
        <v>FALSE</v>
      </c>
      <c r="H28" s="49"/>
      <c r="I28" s="50">
        <f t="shared" ref="I28:I35" si="0">IF(E28&lt;G28,E28,G28)</f>
        <v>0</v>
      </c>
      <c r="J28" s="24"/>
      <c r="K28" s="7"/>
      <c r="L28" s="209" t="str">
        <f t="shared" ref="L28:L35" si="1">IF(M28="FALSE",(IF(N28="FALSE",(IF(O28="FALSE",(IF(P28="FALSE",M28,P28)),O28)),N28)),M28)</f>
        <v>FALSE</v>
      </c>
      <c r="M28" s="209" t="str">
        <f>IF($E$17=1998,$E$12*PIOC_FACTORS!B11*12,IF($E$17=1999,$E$12*PIOC_FACTORS!D11*12,IF($E$17=2000,$E$12*PIOC_FACTORS!F11*12,IF($E$17=2001,$E$12*PIOC_FACTORS!H11*12,IF($E$17=2002,$E$12*PIOC_FACTORS!J11*12,IF($E$17=2003,$E$12*PIOC_FACTORS!L11*12,"FALSE"))))))</f>
        <v>FALSE</v>
      </c>
      <c r="N28" s="209" t="str">
        <f>IF($E$17=2004,$E$12*PIOC_FACTORS!N11*12,IF($E$17=2005,$E$12*PIOC_FACTORS!P11*12,IF($E$17=2006,$E$12*PIOC_FACTORS!R11*12,IF($E$17=2007,$E$12*PIOC_FACTORS!T11*12,IF($E$17=2008,$E$12*PIOC_FACTORS!V11*12,IF($E$17=2009,$E$12*PIOC_FACTORS!X11*12,IF($E$17=2010,$E$12*PIOC_FACTORS!Z11*12,"FALSE")))))))</f>
        <v>FALSE</v>
      </c>
      <c r="O28" s="207" t="str">
        <f>IF($E$17=2011,$E$12*PIOC_FACTORS!AB11*12,IF($E$17=2012,$E$12*PIOC_FACTORS!AD11*12,IF($E$17=2013,$E$12*PIOC_FACTORS!AF11*12,IF($E$17=2014,$E$12*PIOC_FACTORS!AH11*12,"FALSE"))))</f>
        <v>FALSE</v>
      </c>
      <c r="P28" s="224" t="str">
        <f>IF($E$17=2015,$E$12*PIOC_FACTORS!AJ11*12,IF($E$17=2016,$E$12*PIOC_FACTORS!AL11*12,IF($E$17=2017,$E$12*PIOC_FACTORS!AN11*12,IF($E$17=2018,$E$12*PIOC_FACTORS!AP11*12,IF($E$17=2019,$E$12*PIOC_FACTORS!AR11*12,IF($E$17=2020,$E$12*PIOC_FACTORS!AT11*12,IF($E$17=2021,$E$12*PIOC_FACTORS!AV11*12,"FALSE")))))))</f>
        <v>FALSE</v>
      </c>
      <c r="Q28" s="157"/>
    </row>
    <row r="29" spans="1:17" x14ac:dyDescent="0.2">
      <c r="A29" s="33" t="s">
        <v>34</v>
      </c>
      <c r="B29" s="24"/>
      <c r="C29" s="24"/>
      <c r="D29" s="24"/>
      <c r="E29" s="126">
        <v>0</v>
      </c>
      <c r="F29" s="24"/>
      <c r="G29" s="48" t="str">
        <f t="shared" ref="G29:G35" si="2">L29</f>
        <v>FALSE</v>
      </c>
      <c r="H29" s="49"/>
      <c r="I29" s="50">
        <f t="shared" si="0"/>
        <v>0</v>
      </c>
      <c r="J29" s="24"/>
      <c r="K29" s="7"/>
      <c r="L29" s="209" t="str">
        <f t="shared" si="1"/>
        <v>FALSE</v>
      </c>
      <c r="M29" s="209" t="str">
        <f>IF($E$17=1998,$E$12*PIOC_FACTORS!B12*12,IF($E$17=1999,$E$12*PIOC_FACTORS!D12*12,IF($E$17=2000,$E$12*PIOC_FACTORS!F12*12,IF($E$17=2001,$E$12*PIOC_FACTORS!H12*12,IF($E$17=2002,$E$12*PIOC_FACTORS!J12*12,IF($E$17=2003,$E$12*PIOC_FACTORS!L12*12,"FALSE"))))))</f>
        <v>FALSE</v>
      </c>
      <c r="N29" s="209" t="str">
        <f>IF($E$17=2004,$E$12*PIOC_FACTORS!N12*12,IF($E$17=2005,$E$12*PIOC_FACTORS!P12*12,IF($E$17=2006,$E$12*PIOC_FACTORS!R12*12,IF($E$17=2007,$E$12*PIOC_FACTORS!T12*12,IF($E$17=2008,$E$12*PIOC_FACTORS!V12*12,IF($E$17=2009,$E$12*PIOC_FACTORS!X12*12,IF($E$17=2010,$E$12*PIOC_FACTORS!Z12*12,"FALSE")))))))</f>
        <v>FALSE</v>
      </c>
      <c r="O29" s="207" t="str">
        <f>IF($E$17=2011,$E$12*PIOC_FACTORS!AB12*12,IF($E$17=2012,$E$12*PIOC_FACTORS!AD12*12,IF($E$17=2013,$E$12*PIOC_FACTORS!AF12*12,IF($E$17=2014,$E$12*PIOC_FACTORS!AH12*12,"FALSE"))))</f>
        <v>FALSE</v>
      </c>
      <c r="P29" s="224" t="str">
        <f>IF($E$17=2015,$E$12*PIOC_FACTORS!AJ12*12,IF($E$17=2016,$E$12*PIOC_FACTORS!AL12*12,IF($E$17=2017,$E$12*PIOC_FACTORS!AN12*12,IF($E$17=2018,$E$12*PIOC_FACTORS!AP12*12,IF($E$17=2019,$E$12*PIOC_FACTORS!AR12*12,IF($E$17=2020,$E$12*PIOC_FACTORS!AT12*12,IF($E$17=2021,$E$12*PIOC_FACTORS!AV12*12,"FALSE")))))))</f>
        <v>FALSE</v>
      </c>
      <c r="Q29" s="157"/>
    </row>
    <row r="30" spans="1:17" x14ac:dyDescent="0.2">
      <c r="A30" s="33" t="s">
        <v>35</v>
      </c>
      <c r="B30" s="24"/>
      <c r="C30" s="24"/>
      <c r="D30" s="24"/>
      <c r="E30" s="126">
        <v>0</v>
      </c>
      <c r="F30" s="24"/>
      <c r="G30" s="48" t="str">
        <f t="shared" si="2"/>
        <v>FALSE</v>
      </c>
      <c r="H30" s="49"/>
      <c r="I30" s="50">
        <f t="shared" si="0"/>
        <v>0</v>
      </c>
      <c r="J30" s="24"/>
      <c r="K30" s="7"/>
      <c r="L30" s="209" t="str">
        <f t="shared" si="1"/>
        <v>FALSE</v>
      </c>
      <c r="M30" s="209" t="str">
        <f>IF($E$17=1998,$E$12*PIOC_FACTORS!B13*12,IF($E$17=1999,$E$12*PIOC_FACTORS!D13*12,IF($E$17=2000,$E$12*PIOC_FACTORS!F13*12,IF($E$17=2001,$E$12*PIOC_FACTORS!H13*12,IF($E$17=2002,$E$12*PIOC_FACTORS!J13*12,IF($E$17=2003,$E$12*PIOC_FACTORS!L13*12,"FALSE"))))))</f>
        <v>FALSE</v>
      </c>
      <c r="N30" s="209" t="str">
        <f>IF($E$17=2004,$E$12*PIOC_FACTORS!N13*12,IF($E$17=2005,$E$12*PIOC_FACTORS!P13*12,IF($E$17=2006,$E$12*PIOC_FACTORS!R13*12,IF($E$17=2007,$E$12*PIOC_FACTORS!T13*12,IF($E$17=2008,$E$12*PIOC_FACTORS!V13*12,IF($E$17=2009,$E$12*PIOC_FACTORS!X13*12,IF($E$17=2010,$E$12*PIOC_FACTORS!Z13*12,"FALSE")))))))</f>
        <v>FALSE</v>
      </c>
      <c r="O30" s="207" t="str">
        <f>IF($E$17=2011,$E$12*PIOC_FACTORS!AB13*12,IF($E$17=2012,$E$12*PIOC_FACTORS!AD13*12,IF($E$17=2013,$E$12*PIOC_FACTORS!AF13*12,IF($E$17=2014,$E$12*PIOC_FACTORS!AH13*12,"FALSE"))))</f>
        <v>FALSE</v>
      </c>
      <c r="P30" s="224" t="str">
        <f>IF($E$17=2015,$E$12*PIOC_FACTORS!AJ13*12,IF($E$17=2016,$E$12*PIOC_FACTORS!AL13*12,IF($E$17=2017,$E$12*PIOC_FACTORS!AN13*12,IF($E$17=2018,$E$12*PIOC_FACTORS!AP13*12,IF($E$17=2019,$E$12*PIOC_FACTORS!AR13*12,IF($E$17=2020,$E$12*PIOC_FACTORS!AT13*12,IF($E$17=2021,$E$12*PIOC_FACTORS!AV13*12,"FALSE")))))))</f>
        <v>FALSE</v>
      </c>
      <c r="Q30" s="157"/>
    </row>
    <row r="31" spans="1:17" x14ac:dyDescent="0.2">
      <c r="A31" s="33" t="s">
        <v>36</v>
      </c>
      <c r="B31" s="24"/>
      <c r="C31" s="24"/>
      <c r="D31" s="24"/>
      <c r="E31" s="126">
        <v>0</v>
      </c>
      <c r="F31" s="24"/>
      <c r="G31" s="48" t="str">
        <f t="shared" si="2"/>
        <v>FALSE</v>
      </c>
      <c r="H31" s="49"/>
      <c r="I31" s="50">
        <f t="shared" si="0"/>
        <v>0</v>
      </c>
      <c r="J31" s="24"/>
      <c r="K31" s="7"/>
      <c r="L31" s="209" t="str">
        <f t="shared" si="1"/>
        <v>FALSE</v>
      </c>
      <c r="M31" s="209" t="str">
        <f>IF($E$17=1998,$E$12*PIOC_FACTORS!B14*12,IF($E$17=1999,$E$12*PIOC_FACTORS!D14*12,IF($E$17=2000,$E$12*PIOC_FACTORS!F14*12,IF($E$17=2001,$E$12*PIOC_FACTORS!H14*12,IF($E$17=2002,$E$12*PIOC_FACTORS!J14*12,IF($E$17=2003,$E$12*PIOC_FACTORS!L14*12,"FALSE"))))))</f>
        <v>FALSE</v>
      </c>
      <c r="N31" s="209" t="str">
        <f>IF($E$17=2004,$E$12*PIOC_FACTORS!N14*12,IF($E$17=2005,$E$12*PIOC_FACTORS!P14*12,IF($E$17=2006,$E$12*PIOC_FACTORS!R14*12,IF($E$17=2007,$E$12*PIOC_FACTORS!T14*12,IF($E$17=2008,$E$12*PIOC_FACTORS!V14*12,IF($E$17=2009,$E$12*PIOC_FACTORS!X14*12,IF($E$17=2010,$E$12*PIOC_FACTORS!Z14*12,"FALSE")))))))</f>
        <v>FALSE</v>
      </c>
      <c r="O31" s="207" t="str">
        <f>IF($E$17=2011,$E$12*PIOC_FACTORS!AB14*12,IF($E$17=2012,$E$12*PIOC_FACTORS!AD14*12,IF($E$17=2013,$E$12*PIOC_FACTORS!AF14*12,IF($E$17=2014,$E$12*PIOC_FACTORS!AH14*12,"FALSE"))))</f>
        <v>FALSE</v>
      </c>
      <c r="P31" s="224" t="str">
        <f>IF($E$17=2015,$E$12*PIOC_FACTORS!AJ14*12,IF($E$17=2016,$E$12*PIOC_FACTORS!AL14*12,IF($E$17=2017,$E$12*PIOC_FACTORS!AN14*12,IF($E$17=2018,$E$12*PIOC_FACTORS!AP14*12,IF($E$17=2019,$E$12*PIOC_FACTORS!AR14*12,IF($E$17=2020,$E$12*PIOC_FACTORS!AT14*12,IF($E$17=2021,$E$12*PIOC_FACTORS!AV14*12,"FALSE")))))))</f>
        <v>FALSE</v>
      </c>
      <c r="Q31" s="157"/>
    </row>
    <row r="32" spans="1:17" x14ac:dyDescent="0.2">
      <c r="A32" s="33" t="s">
        <v>37</v>
      </c>
      <c r="B32" s="24"/>
      <c r="C32" s="24"/>
      <c r="D32" s="24"/>
      <c r="E32" s="126">
        <v>0</v>
      </c>
      <c r="F32" s="24"/>
      <c r="G32" s="48" t="str">
        <f t="shared" si="2"/>
        <v>FALSE</v>
      </c>
      <c r="H32" s="49"/>
      <c r="I32" s="50">
        <f t="shared" si="0"/>
        <v>0</v>
      </c>
      <c r="J32" s="24"/>
      <c r="K32" s="7"/>
      <c r="L32" s="209" t="str">
        <f t="shared" si="1"/>
        <v>FALSE</v>
      </c>
      <c r="M32" s="209" t="str">
        <f>IF($E$17=1998,$E$12*PIOC_FACTORS!B15*12,IF($E$17=1999,$E$12*PIOC_FACTORS!D15*12,IF($E$17=2000,$E$12*PIOC_FACTORS!F15*12,IF($E$17=2001,$E$12*PIOC_FACTORS!H15*12,IF($E$17=2002,$E$12*PIOC_FACTORS!J15*12,IF($E$17=2003,$E$12*PIOC_FACTORS!L15*12,"FALSE"))))))</f>
        <v>FALSE</v>
      </c>
      <c r="N32" s="209" t="str">
        <f>IF($E$17=2004,$E$12*PIOC_FACTORS!N15*12,IF($E$17=2005,$E$12*PIOC_FACTORS!P15*12,IF($E$17=2006,$E$12*PIOC_FACTORS!R15*12,IF($E$17=2007,$E$12*PIOC_FACTORS!T15*12,IF($E$17=2008,$E$12*PIOC_FACTORS!V15*12,IF($E$17=2009,$E$12*PIOC_FACTORS!X15*12,IF($E$17=2010,$E$12*PIOC_FACTORS!Z15*12,"FALSE")))))))</f>
        <v>FALSE</v>
      </c>
      <c r="O32" s="207" t="str">
        <f>IF($E$17=2011,$E$12*PIOC_FACTORS!AB15*12,IF($E$17=2012,$E$12*PIOC_FACTORS!AD15*12,IF($E$17=2013,$E$12*PIOC_FACTORS!AF15*12,IF($E$17=2014,$E$12*PIOC_FACTORS!AH15*12,"FALSE"))))</f>
        <v>FALSE</v>
      </c>
      <c r="P32" s="224" t="str">
        <f>IF($E$17=2015,$E$12*PIOC_FACTORS!AJ15*12,IF($E$17=2016,$E$12*PIOC_FACTORS!AL15*12,IF($E$17=2017,$E$12*PIOC_FACTORS!AN15*12,IF($E$17=2018,$E$12*PIOC_FACTORS!AP15*12,IF($E$17=2019,$E$12*PIOC_FACTORS!AR15*12,IF($E$17=2020,$E$12*PIOC_FACTORS!AT15*12,IF($E$17=2021,$E$12*PIOC_FACTORS!AV15*12,"FALSE")))))))</f>
        <v>FALSE</v>
      </c>
      <c r="Q32" s="157"/>
    </row>
    <row r="33" spans="1:28" x14ac:dyDescent="0.2">
      <c r="A33" s="33" t="s">
        <v>38</v>
      </c>
      <c r="B33" s="24"/>
      <c r="C33" s="24"/>
      <c r="D33" s="24"/>
      <c r="E33" s="126">
        <v>0</v>
      </c>
      <c r="F33" s="24"/>
      <c r="G33" s="48" t="str">
        <f t="shared" si="2"/>
        <v>FALSE</v>
      </c>
      <c r="H33" s="49"/>
      <c r="I33" s="50">
        <f>IF(E33&lt;G33,E33,G33)</f>
        <v>0</v>
      </c>
      <c r="J33" s="51"/>
      <c r="K33" s="7"/>
      <c r="L33" s="209" t="str">
        <f t="shared" si="1"/>
        <v>FALSE</v>
      </c>
      <c r="M33" s="209" t="str">
        <f>IF($E$17=1998,$E$12*PIOC_FACTORS!B16*12,IF($E$17=1999,$E$12*PIOC_FACTORS!D16*12,IF($E$17=2000,$E$12*PIOC_FACTORS!F16*12,IF($E$17=2001,$E$12*PIOC_FACTORS!H16*12,IF($E$17=2002,$E$12*PIOC_FACTORS!J16*12,IF($E$17=2003,$E$12*PIOC_FACTORS!L16*12,"FALSE"))))))</f>
        <v>FALSE</v>
      </c>
      <c r="N33" s="209" t="str">
        <f>IF($E$17=2004,$E$12*PIOC_FACTORS!N16*12,IF($E$17=2005,$E$12*PIOC_FACTORS!P16*12,IF($E$17=2006,$E$12*PIOC_FACTORS!R16*12,IF($E$17=2007,$E$12*PIOC_FACTORS!T16*12,IF($E$17=2008,$E$12*PIOC_FACTORS!V16*12,IF($E$17=2009,$E$12*PIOC_FACTORS!X16*12,IF($E$17=2010,$E$12*PIOC_FACTORS!Z16*12,"FALSE")))))))</f>
        <v>FALSE</v>
      </c>
      <c r="O33" s="207" t="str">
        <f>IF($E$17=2011,$E$12*PIOC_FACTORS!AB16*12,IF($E$17=2012,$E$12*PIOC_FACTORS!AD16*12,IF($E$17=2013,$E$12*PIOC_FACTORS!AF16*12,IF($E$17=2014,$E$12*PIOC_FACTORS!AH16*12,"FALSE"))))</f>
        <v>FALSE</v>
      </c>
      <c r="P33" s="224" t="str">
        <f>IF($E$17=2015,$E$12*PIOC_FACTORS!AJ16*12,IF($E$17=2016,$E$12*PIOC_FACTORS!AL16*12,IF($E$17=2017,$E$12*PIOC_FACTORS!AN16*12,IF($E$17=2018,$E$12*PIOC_FACTORS!AP16*12,IF($E$17=2019,$E$12*PIOC_FACTORS!AR16*12,IF($E$17=2020,$E$12*PIOC_FACTORS!AT16*12,IF($E$17=2021,$E$12*PIOC_FACTORS!AV16*12,"FALSE")))))))</f>
        <v>FALSE</v>
      </c>
      <c r="Q33" s="157"/>
    </row>
    <row r="34" spans="1:28" x14ac:dyDescent="0.2">
      <c r="A34" s="33" t="s">
        <v>39</v>
      </c>
      <c r="B34" s="24"/>
      <c r="C34" s="24"/>
      <c r="D34" s="24"/>
      <c r="E34" s="126">
        <v>0</v>
      </c>
      <c r="F34" s="24"/>
      <c r="G34" s="48" t="str">
        <f t="shared" si="2"/>
        <v>FALSE</v>
      </c>
      <c r="H34" s="49"/>
      <c r="I34" s="50">
        <f t="shared" si="0"/>
        <v>0</v>
      </c>
      <c r="J34" s="24"/>
      <c r="K34" s="7"/>
      <c r="L34" s="209" t="str">
        <f t="shared" si="1"/>
        <v>FALSE</v>
      </c>
      <c r="M34" s="209" t="str">
        <f>IF($E$17=1998,$E$12*PIOC_FACTORS!B17*12,IF($E$17=1999,$E$12*PIOC_FACTORS!D17*12,IF($E$17=2000,$E$12*PIOC_FACTORS!F17*12,IF($E$17=2001,$E$12*PIOC_FACTORS!H17*12,IF($E$17=2002,$E$12*PIOC_FACTORS!J17*12,IF($E$17=2003,$E$12*PIOC_FACTORS!L17*12,"FALSE"))))))</f>
        <v>FALSE</v>
      </c>
      <c r="N34" s="209" t="str">
        <f>IF($E$17=2004,$E$12*PIOC_FACTORS!N17*12,IF($E$17=2005,$E$12*PIOC_FACTORS!P17*12,IF($E$17=2006,$E$12*PIOC_FACTORS!R17*12,IF($E$17=2007,$E$12*PIOC_FACTORS!T17*12,IF($E$17=2008,$E$12*PIOC_FACTORS!V17*12,IF($E$17=2009,$E$12*PIOC_FACTORS!X17*12,IF($E$17=2010,$E$12*PIOC_FACTORS!Z17*12,"FALSE")))))))</f>
        <v>FALSE</v>
      </c>
      <c r="O34" s="207" t="str">
        <f>IF($E$17=2011,$E$12*PIOC_FACTORS!AB17*12,IF($E$17=2012,$E$12*PIOC_FACTORS!AD17*12,IF($E$17=2013,$E$12*PIOC_FACTORS!AF17*12,IF($E$17=2014,$E$12*PIOC_FACTORS!AH17*12,"FALSE"))))</f>
        <v>FALSE</v>
      </c>
      <c r="P34" s="224" t="str">
        <f>IF($E$17=2015,$E$12*PIOC_FACTORS!AJ17*12,IF($E$17=2016,$E$12*PIOC_FACTORS!AL17*12,IF($E$17=2017,$E$12*PIOC_FACTORS!AN17*12,IF($E$17=2018,$E$12*PIOC_FACTORS!AP17*12,IF($E$17=2019,$E$12*PIOC_FACTORS!AR17*12,IF($E$17=2020,$E$12*PIOC_FACTORS!AT17*12,IF($E$17=2021,$E$12*PIOC_FACTORS!AV17*12,"FALSE")))))))</f>
        <v>FALSE</v>
      </c>
      <c r="Q34" s="157"/>
    </row>
    <row r="35" spans="1:28" x14ac:dyDescent="0.2">
      <c r="A35" s="33" t="s">
        <v>40</v>
      </c>
      <c r="B35" s="24"/>
      <c r="C35" s="24"/>
      <c r="D35" s="24"/>
      <c r="E35" s="126">
        <v>0</v>
      </c>
      <c r="F35" s="24"/>
      <c r="G35" s="48" t="str">
        <f t="shared" si="2"/>
        <v>FALSE</v>
      </c>
      <c r="H35" s="42"/>
      <c r="I35" s="50">
        <f t="shared" si="0"/>
        <v>0</v>
      </c>
      <c r="J35" s="24"/>
      <c r="K35" s="7"/>
      <c r="L35" s="209" t="str">
        <f t="shared" si="1"/>
        <v>FALSE</v>
      </c>
      <c r="M35" s="209" t="str">
        <f>IF($E$17=1998,$E$12*PIOC_FACTORS!B18*12,IF($E$17=1999,$E$12*PIOC_FACTORS!D18*12,IF($E$17=2000,$E$12*PIOC_FACTORS!F18*12,IF($E$17=2001,$E$12*PIOC_FACTORS!H18*12,IF($E$17=2002,$E$12*PIOC_FACTORS!J18*12,IF($E$17=2003,$E$12*PIOC_FACTORS!L18*12,"FALSE"))))))</f>
        <v>FALSE</v>
      </c>
      <c r="N35" s="209" t="str">
        <f>IF($E$17=2004,$E$12*PIOC_FACTORS!N18*12,IF($E$17=2005,$E$12*PIOC_FACTORS!P18*12,IF($E$17=2006,$E$12*PIOC_FACTORS!R18*12,IF($E$17=2007,$E$12*PIOC_FACTORS!T18*12,IF($E$17=2008,$E$12*PIOC_FACTORS!V18*12,IF($E$17=2009,$E$12*PIOC_FACTORS!X18*12,IF($E$17=2010,$E$12*PIOC_FACTORS!Z18*12,"FALSE")))))))</f>
        <v>FALSE</v>
      </c>
      <c r="O35" s="207" t="str">
        <f>IF($E$17=2011,$E$12*PIOC_FACTORS!AB18*12,IF($E$17=2012,$E$12*PIOC_FACTORS!AD18*12,IF($E$17=2013,$E$12*PIOC_FACTORS!AF18*12,IF($E$17=2014,$E$12*PIOC_FACTORS!AH18*12,"FALSE"))))</f>
        <v>FALSE</v>
      </c>
      <c r="P35" s="224" t="str">
        <f>IF($E$17=2015,$E$12*PIOC_FACTORS!AJ18*12,IF($E$17=2016,$E$12*PIOC_FACTORS!AL18*12,IF($E$17=2017,$E$12*PIOC_FACTORS!AN18*12,IF($E$17=2018,$E$12*PIOC_FACTORS!AP18*12,IF($E$17=2019,$E$12*PIOC_FACTORS!AR18*12,IF($E$17=2020,$E$12*PIOC_FACTORS!AT18*12,IF($E$17=2021,$E$12*PIOC_FACTORS!AV18*12,"FALSE")))))))</f>
        <v>FALSE</v>
      </c>
      <c r="Q35" s="157"/>
    </row>
    <row r="36" spans="1:28" x14ac:dyDescent="0.2">
      <c r="A36" s="33" t="s">
        <v>41</v>
      </c>
      <c r="B36" s="24"/>
      <c r="C36" s="24"/>
      <c r="D36" s="24"/>
      <c r="E36" s="126">
        <v>0</v>
      </c>
      <c r="F36" s="24"/>
      <c r="G36" s="303" t="e">
        <f>0.09*(SUM(I27:I35)+G145+F272-E21)</f>
        <v>#DIV/0!</v>
      </c>
      <c r="H36" s="42"/>
      <c r="I36" s="50" t="e">
        <f>G36</f>
        <v>#DIV/0!</v>
      </c>
      <c r="J36" s="24"/>
      <c r="K36" s="7"/>
      <c r="L36" s="157"/>
      <c r="M36" s="157"/>
      <c r="N36" s="157"/>
      <c r="O36" s="157"/>
      <c r="P36" s="157"/>
      <c r="Q36" s="157"/>
    </row>
    <row r="37" spans="1:28" x14ac:dyDescent="0.2">
      <c r="A37" s="33" t="s">
        <v>42</v>
      </c>
      <c r="B37" s="24"/>
      <c r="C37" s="24"/>
      <c r="D37" s="24"/>
      <c r="E37" s="126">
        <v>0</v>
      </c>
      <c r="F37" s="24"/>
      <c r="G37" s="52" t="e">
        <f>0.006*F269</f>
        <v>#DIV/0!</v>
      </c>
      <c r="H37" s="42"/>
      <c r="I37" s="53" t="e">
        <f>G37</f>
        <v>#DIV/0!</v>
      </c>
      <c r="J37" s="24"/>
      <c r="K37" s="7"/>
      <c r="L37" s="157"/>
      <c r="M37" s="157"/>
      <c r="N37" s="157"/>
      <c r="O37" s="157"/>
      <c r="P37" s="157"/>
      <c r="Q37" s="157"/>
    </row>
    <row r="38" spans="1:28" s="57" customFormat="1" ht="15.75" x14ac:dyDescent="0.25">
      <c r="A38" s="54" t="s">
        <v>43</v>
      </c>
      <c r="B38" s="54"/>
      <c r="C38" s="54"/>
      <c r="D38" s="54"/>
      <c r="E38" s="55">
        <f>(SUM(E27:E37))</f>
        <v>0</v>
      </c>
      <c r="F38" s="54"/>
      <c r="G38" s="55" t="e">
        <f>SUM(G27:G37)</f>
        <v>#DIV/0!</v>
      </c>
      <c r="H38" s="56"/>
      <c r="I38" s="55" t="e">
        <f>SUM(I27:I37)</f>
        <v>#DIV/0!</v>
      </c>
      <c r="J38" s="54"/>
      <c r="K38" s="136"/>
      <c r="L38" s="160"/>
      <c r="M38" s="160"/>
      <c r="N38" s="160"/>
      <c r="O38" s="160"/>
      <c r="P38" s="160"/>
      <c r="Q38" s="160"/>
      <c r="R38" s="137"/>
      <c r="S38" s="137"/>
      <c r="T38" s="137"/>
      <c r="U38" s="137"/>
      <c r="V38" s="137"/>
      <c r="W38" s="137"/>
      <c r="X38" s="137"/>
      <c r="Y38" s="137"/>
      <c r="Z38" s="137"/>
      <c r="AA38" s="137"/>
      <c r="AB38" s="137"/>
    </row>
    <row r="39" spans="1:28" s="60" customFormat="1" ht="15.75" x14ac:dyDescent="0.25">
      <c r="A39" s="58"/>
      <c r="B39" s="54"/>
      <c r="C39" s="54"/>
      <c r="D39" s="54"/>
      <c r="E39" s="56"/>
      <c r="F39" s="54"/>
      <c r="G39" s="56"/>
      <c r="H39" s="56"/>
      <c r="I39" s="59"/>
      <c r="K39" s="136"/>
      <c r="L39" s="160"/>
      <c r="M39" s="160"/>
      <c r="N39" s="160"/>
      <c r="O39" s="160"/>
      <c r="P39" s="160"/>
      <c r="Q39" s="160"/>
      <c r="R39" s="138"/>
      <c r="S39" s="138"/>
      <c r="T39" s="138"/>
      <c r="U39" s="138"/>
      <c r="V39" s="138"/>
      <c r="W39" s="138"/>
      <c r="X39" s="138"/>
      <c r="Y39" s="138"/>
      <c r="Z39" s="138"/>
      <c r="AA39" s="138"/>
      <c r="AB39" s="138"/>
    </row>
    <row r="40" spans="1:28" ht="15.75" x14ac:dyDescent="0.25">
      <c r="A40" s="54"/>
      <c r="B40" s="24"/>
      <c r="C40" s="24"/>
      <c r="D40" s="24"/>
      <c r="E40" s="42"/>
      <c r="F40" s="24"/>
      <c r="G40" s="42"/>
      <c r="H40" s="42"/>
      <c r="I40" s="61"/>
      <c r="J40" s="24"/>
      <c r="K40" s="7"/>
      <c r="L40" s="157"/>
      <c r="M40" s="157"/>
      <c r="N40" s="157"/>
      <c r="O40" s="157"/>
      <c r="P40" s="157"/>
      <c r="Q40" s="157"/>
    </row>
    <row r="41" spans="1:28" ht="18.75" thickBot="1" x14ac:dyDescent="0.3">
      <c r="A41" s="20" t="s">
        <v>44</v>
      </c>
      <c r="B41" s="21"/>
      <c r="C41" s="21"/>
      <c r="D41" s="21"/>
      <c r="E41" s="21"/>
      <c r="F41" s="21"/>
      <c r="G41" s="21"/>
      <c r="H41" s="21"/>
      <c r="I41" s="21"/>
      <c r="J41" s="21"/>
      <c r="K41" s="7"/>
      <c r="L41" s="157"/>
      <c r="M41" s="157"/>
      <c r="N41" s="157"/>
      <c r="O41" s="157"/>
      <c r="P41" s="157"/>
      <c r="Q41" s="157"/>
    </row>
    <row r="42" spans="1:28" x14ac:dyDescent="0.2">
      <c r="A42" s="24"/>
      <c r="B42" s="24"/>
      <c r="C42" s="24"/>
      <c r="D42" s="24" t="s">
        <v>45</v>
      </c>
      <c r="E42" s="24"/>
      <c r="F42" s="24"/>
      <c r="G42" s="24"/>
      <c r="H42" s="24"/>
      <c r="I42" s="24"/>
      <c r="J42" s="24"/>
      <c r="K42" s="7"/>
      <c r="L42" s="157"/>
      <c r="M42" s="157"/>
      <c r="N42" s="157"/>
      <c r="O42" s="157"/>
      <c r="P42" s="157"/>
      <c r="Q42" s="157"/>
    </row>
    <row r="43" spans="1:28" x14ac:dyDescent="0.2">
      <c r="B43" s="62"/>
      <c r="C43" s="46" t="s">
        <v>46</v>
      </c>
      <c r="D43" s="46" t="s">
        <v>47</v>
      </c>
      <c r="E43" s="27"/>
      <c r="F43" s="24"/>
      <c r="G43" s="24"/>
      <c r="H43" s="24"/>
      <c r="I43" s="24"/>
      <c r="J43" s="24"/>
      <c r="K43" s="7"/>
      <c r="L43" s="308" t="s">
        <v>48</v>
      </c>
      <c r="M43" s="309"/>
      <c r="N43" s="309"/>
      <c r="O43" s="306" t="s">
        <v>49</v>
      </c>
      <c r="P43" s="307"/>
      <c r="Q43" s="157"/>
    </row>
    <row r="44" spans="1:28" x14ac:dyDescent="0.2">
      <c r="A44" s="24"/>
      <c r="B44" s="46" t="s">
        <v>50</v>
      </c>
      <c r="C44" s="46" t="s">
        <v>51</v>
      </c>
      <c r="D44" s="46" t="s">
        <v>52</v>
      </c>
      <c r="E44" s="27"/>
      <c r="F44" s="24"/>
      <c r="G44" s="46" t="s">
        <v>53</v>
      </c>
      <c r="H44" s="24"/>
      <c r="I44" s="24"/>
      <c r="J44" s="24"/>
      <c r="K44" s="202" t="s">
        <v>54</v>
      </c>
      <c r="L44" s="157" t="s">
        <v>55</v>
      </c>
      <c r="M44" s="157" t="s">
        <v>56</v>
      </c>
      <c r="N44" s="157" t="s">
        <v>57</v>
      </c>
      <c r="O44" s="161" t="s">
        <v>58</v>
      </c>
      <c r="P44" s="162" t="s">
        <v>59</v>
      </c>
      <c r="Q44" s="157"/>
    </row>
    <row r="45" spans="1:28" x14ac:dyDescent="0.2">
      <c r="A45" s="63">
        <v>1</v>
      </c>
      <c r="B45" s="13"/>
      <c r="C45" s="15" t="str">
        <f t="shared" ref="C45:C62" si="3">IF(B45="","",K45)</f>
        <v/>
      </c>
      <c r="D45" s="18">
        <v>0</v>
      </c>
      <c r="E45" s="27"/>
      <c r="F45" s="24"/>
      <c r="G45" s="64" t="str">
        <f t="shared" ref="G45:G144" si="4">IF(B45="","",C45*D45)</f>
        <v/>
      </c>
      <c r="H45" s="24"/>
      <c r="I45" s="24"/>
      <c r="J45" s="24"/>
      <c r="K45" s="203">
        <f t="shared" ref="K45:K62" ca="1" si="5">ROUND(IF($E$17=2021,$P$45*1.05*1.05*1.05*1.05*1.05*1.05*1.05*1.05*1.05*1.05,IF($E$17=2020,$P$45*1.05*1.05*1.05*1.05*1.05*1.05*1.05*1.05*1.05,IF($E$17=2019,$P$45*1.05*1.05*1.05*1.05*1.05*1.05*1.05*1.05,IF($E$17=2018,$P$45*1.05*1.05*1.05*1.05*1.05*1.05*1.05,IF($E$17=2017,$P$45*1.05*1.05*1.05*1.05*1.05*1.05,IF($E$17=2016,$P$45*1.05*1.05*1.05*1.05*1.05,L45)))))),5)</f>
        <v>0.20715</v>
      </c>
      <c r="L45" s="163">
        <f t="shared" ref="L45:L62" ca="1" si="6">ROUND(IF($E$17=2015,$P$45*1.05*1.05*1.05*1.05,IF($E$17=2014,$P$45*1.05*1.05*1.05,IF($E$17=2013,$P$45*1.05*1.05,IF($E$17=2012,$P$45*1.05,IF($E$17=2011,$P$45,IF($E$17=2010,$P$46,IF($E$17=2009,$P$47,M45))))))),5)</f>
        <v>0.20715</v>
      </c>
      <c r="M45" s="163">
        <f t="shared" ref="M45:M62" ca="1" si="7">IF($E$17=2008,$P$48,IF($E$17=2007,$P$49,IF($E$17=2006,$P$50,IF($E$17=2005,$P$51,IF($E$17=2004,$P$52,IF($E$17=2003,$P$53,IF($E$17=2002,$P$54,N45)))))))</f>
        <v>0.20715</v>
      </c>
      <c r="N45" s="205">
        <f t="shared" ref="N45:N62" ca="1" si="8">IF($E$17=2001,$P$55,IF($E$17=2000,$P$56,IF($E$17=1999,$P$57,IF($E$17=1998,$P$58,K45))))</f>
        <v>0.20715</v>
      </c>
      <c r="O45" s="164">
        <v>0.90909090909090906</v>
      </c>
      <c r="P45" s="201">
        <v>0.13353000000000001</v>
      </c>
      <c r="Q45" s="165"/>
    </row>
    <row r="46" spans="1:28" x14ac:dyDescent="0.2">
      <c r="A46" s="63">
        <v>2</v>
      </c>
      <c r="B46" s="13"/>
      <c r="C46" s="15" t="str">
        <f t="shared" si="3"/>
        <v/>
      </c>
      <c r="D46" s="18">
        <v>0</v>
      </c>
      <c r="E46" s="27"/>
      <c r="F46" s="24"/>
      <c r="G46" s="64" t="str">
        <f t="shared" si="4"/>
        <v/>
      </c>
      <c r="H46" s="24"/>
      <c r="I46" s="24"/>
      <c r="J46" s="24"/>
      <c r="K46" s="203">
        <f t="shared" ca="1" si="5"/>
        <v>0.20715</v>
      </c>
      <c r="L46" s="163">
        <f t="shared" ca="1" si="6"/>
        <v>0.20715</v>
      </c>
      <c r="M46" s="163">
        <f t="shared" ca="1" si="7"/>
        <v>0.20715</v>
      </c>
      <c r="N46" s="205">
        <f t="shared" ca="1" si="8"/>
        <v>0.20715</v>
      </c>
      <c r="O46" s="164">
        <v>0.9</v>
      </c>
      <c r="P46" s="201">
        <v>0.13241</v>
      </c>
      <c r="Q46" s="165"/>
    </row>
    <row r="47" spans="1:28" x14ac:dyDescent="0.2">
      <c r="A47" s="63">
        <v>3</v>
      </c>
      <c r="B47" s="13"/>
      <c r="C47" s="15" t="str">
        <f t="shared" si="3"/>
        <v/>
      </c>
      <c r="D47" s="18">
        <v>0</v>
      </c>
      <c r="E47" s="27"/>
      <c r="F47" s="24"/>
      <c r="G47" s="64" t="str">
        <f t="shared" si="4"/>
        <v/>
      </c>
      <c r="H47" s="24"/>
      <c r="I47" s="24"/>
      <c r="J47" s="24"/>
      <c r="K47" s="203">
        <f t="shared" ca="1" si="5"/>
        <v>0.20715</v>
      </c>
      <c r="L47" s="163">
        <f t="shared" ca="1" si="6"/>
        <v>0.20715</v>
      </c>
      <c r="M47" s="163">
        <f t="shared" ca="1" si="7"/>
        <v>0.20715</v>
      </c>
      <c r="N47" s="205">
        <f t="shared" ca="1" si="8"/>
        <v>0.20715</v>
      </c>
      <c r="O47" s="164">
        <v>0.88888888888888884</v>
      </c>
      <c r="P47" s="201">
        <f>12.596%</f>
        <v>0.12595999999999999</v>
      </c>
      <c r="Q47" s="165"/>
    </row>
    <row r="48" spans="1:28" x14ac:dyDescent="0.2">
      <c r="A48" s="63">
        <v>4</v>
      </c>
      <c r="B48" s="13"/>
      <c r="C48" s="15" t="str">
        <f t="shared" si="3"/>
        <v/>
      </c>
      <c r="D48" s="18">
        <v>0</v>
      </c>
      <c r="E48" s="27"/>
      <c r="F48" s="24"/>
      <c r="G48" s="64" t="str">
        <f t="shared" si="4"/>
        <v/>
      </c>
      <c r="H48" s="24"/>
      <c r="I48" s="24"/>
      <c r="J48" s="24"/>
      <c r="K48" s="203">
        <f t="shared" ca="1" si="5"/>
        <v>0.20715</v>
      </c>
      <c r="L48" s="163">
        <f t="shared" ca="1" si="6"/>
        <v>0.20715</v>
      </c>
      <c r="M48" s="163">
        <f t="shared" ca="1" si="7"/>
        <v>0.20715</v>
      </c>
      <c r="N48" s="205">
        <f t="shared" ca="1" si="8"/>
        <v>0.20715</v>
      </c>
      <c r="O48" s="164">
        <v>0.875</v>
      </c>
      <c r="P48" s="165">
        <v>0.11928</v>
      </c>
      <c r="Q48" s="165"/>
    </row>
    <row r="49" spans="1:17" x14ac:dyDescent="0.2">
      <c r="A49" s="63">
        <v>5</v>
      </c>
      <c r="B49" s="13"/>
      <c r="C49" s="15" t="str">
        <f t="shared" si="3"/>
        <v/>
      </c>
      <c r="D49" s="18">
        <v>0</v>
      </c>
      <c r="E49" s="27"/>
      <c r="F49" s="24"/>
      <c r="G49" s="64" t="str">
        <f t="shared" si="4"/>
        <v/>
      </c>
      <c r="H49" s="24"/>
      <c r="I49" s="24"/>
      <c r="J49" s="24"/>
      <c r="K49" s="203">
        <f t="shared" ca="1" si="5"/>
        <v>0.20715</v>
      </c>
      <c r="L49" s="163">
        <f t="shared" ca="1" si="6"/>
        <v>0.20715</v>
      </c>
      <c r="M49" s="163">
        <f t="shared" ca="1" si="7"/>
        <v>0.20715</v>
      </c>
      <c r="N49" s="205">
        <f t="shared" ca="1" si="8"/>
        <v>0.20715</v>
      </c>
      <c r="O49" s="164">
        <v>0.8571428571428571</v>
      </c>
      <c r="P49" s="165">
        <v>0.12737000000000001</v>
      </c>
      <c r="Q49" s="165"/>
    </row>
    <row r="50" spans="1:17" x14ac:dyDescent="0.2">
      <c r="A50" s="63">
        <v>6</v>
      </c>
      <c r="B50" s="13"/>
      <c r="C50" s="15" t="str">
        <f t="shared" si="3"/>
        <v/>
      </c>
      <c r="D50" s="18">
        <v>0</v>
      </c>
      <c r="E50" s="27"/>
      <c r="F50" s="24"/>
      <c r="G50" s="64" t="str">
        <f t="shared" si="4"/>
        <v/>
      </c>
      <c r="H50" s="24"/>
      <c r="I50" s="24"/>
      <c r="J50" s="24"/>
      <c r="K50" s="203">
        <f t="shared" ca="1" si="5"/>
        <v>0.20715</v>
      </c>
      <c r="L50" s="163">
        <f t="shared" ca="1" si="6"/>
        <v>0.20715</v>
      </c>
      <c r="M50" s="163">
        <f t="shared" ca="1" si="7"/>
        <v>0.20715</v>
      </c>
      <c r="N50" s="205">
        <f t="shared" ca="1" si="8"/>
        <v>0.20715</v>
      </c>
      <c r="O50" s="164">
        <v>0.83333333333333337</v>
      </c>
      <c r="P50" s="165">
        <v>0.12396</v>
      </c>
      <c r="Q50" s="165"/>
    </row>
    <row r="51" spans="1:17" x14ac:dyDescent="0.2">
      <c r="A51" s="63">
        <v>7</v>
      </c>
      <c r="B51" s="13"/>
      <c r="C51" s="15" t="str">
        <f t="shared" si="3"/>
        <v/>
      </c>
      <c r="D51" s="18">
        <v>0</v>
      </c>
      <c r="E51" s="27"/>
      <c r="F51" s="24"/>
      <c r="G51" s="64" t="str">
        <f t="shared" si="4"/>
        <v/>
      </c>
      <c r="H51" s="24"/>
      <c r="I51" s="24"/>
      <c r="J51" s="24"/>
      <c r="K51" s="203">
        <f t="shared" ca="1" si="5"/>
        <v>0.20715</v>
      </c>
      <c r="L51" s="163">
        <f t="shared" ca="1" si="6"/>
        <v>0.20715</v>
      </c>
      <c r="M51" s="163">
        <f t="shared" ca="1" si="7"/>
        <v>0.20715</v>
      </c>
      <c r="N51" s="205">
        <f t="shared" ca="1" si="8"/>
        <v>0.20715</v>
      </c>
      <c r="O51" s="164">
        <v>0.8</v>
      </c>
      <c r="P51" s="165">
        <v>0.12216</v>
      </c>
      <c r="Q51" s="165"/>
    </row>
    <row r="52" spans="1:17" x14ac:dyDescent="0.2">
      <c r="A52" s="63">
        <v>8</v>
      </c>
      <c r="B52" s="13"/>
      <c r="C52" s="15" t="str">
        <f t="shared" si="3"/>
        <v/>
      </c>
      <c r="D52" s="18">
        <v>0</v>
      </c>
      <c r="E52" s="27"/>
      <c r="F52" s="24"/>
      <c r="G52" s="64" t="str">
        <f t="shared" si="4"/>
        <v/>
      </c>
      <c r="H52" s="24"/>
      <c r="I52" s="24"/>
      <c r="J52" s="24"/>
      <c r="K52" s="203">
        <f t="shared" ca="1" si="5"/>
        <v>0.20715</v>
      </c>
      <c r="L52" s="163">
        <f t="shared" ca="1" si="6"/>
        <v>0.20715</v>
      </c>
      <c r="M52" s="163">
        <f t="shared" ca="1" si="7"/>
        <v>0.20715</v>
      </c>
      <c r="N52" s="205">
        <f t="shared" ca="1" si="8"/>
        <v>0.20715</v>
      </c>
      <c r="O52" s="164">
        <v>0.75</v>
      </c>
      <c r="P52" s="165">
        <v>0.12620000000000001</v>
      </c>
      <c r="Q52" s="165"/>
    </row>
    <row r="53" spans="1:17" x14ac:dyDescent="0.2">
      <c r="A53" s="63">
        <v>9</v>
      </c>
      <c r="B53" s="13"/>
      <c r="C53" s="15" t="str">
        <f t="shared" si="3"/>
        <v/>
      </c>
      <c r="D53" s="18">
        <v>0</v>
      </c>
      <c r="E53" s="27"/>
      <c r="F53" s="24"/>
      <c r="G53" s="64" t="str">
        <f t="shared" si="4"/>
        <v/>
      </c>
      <c r="H53" s="24"/>
      <c r="I53" s="24"/>
      <c r="J53" s="24"/>
      <c r="K53" s="203">
        <f t="shared" ca="1" si="5"/>
        <v>0.20715</v>
      </c>
      <c r="L53" s="163">
        <f t="shared" ca="1" si="6"/>
        <v>0.20715</v>
      </c>
      <c r="M53" s="163">
        <f t="shared" ca="1" si="7"/>
        <v>0.20715</v>
      </c>
      <c r="N53" s="205">
        <f t="shared" ca="1" si="8"/>
        <v>0.20715</v>
      </c>
      <c r="O53" s="164">
        <v>0.66666666666666663</v>
      </c>
      <c r="P53" s="165">
        <v>0.11541</v>
      </c>
      <c r="Q53" s="165"/>
    </row>
    <row r="54" spans="1:17" x14ac:dyDescent="0.2">
      <c r="A54" s="63">
        <v>10</v>
      </c>
      <c r="B54" s="13"/>
      <c r="C54" s="15" t="str">
        <f t="shared" si="3"/>
        <v/>
      </c>
      <c r="D54" s="18">
        <v>0</v>
      </c>
      <c r="E54" s="27"/>
      <c r="F54" s="24"/>
      <c r="G54" s="64" t="str">
        <f t="shared" si="4"/>
        <v/>
      </c>
      <c r="H54" s="24"/>
      <c r="I54" s="24"/>
      <c r="J54" s="24"/>
      <c r="K54" s="203">
        <f t="shared" ca="1" si="5"/>
        <v>0.20715</v>
      </c>
      <c r="L54" s="163">
        <f t="shared" ca="1" si="6"/>
        <v>0.20715</v>
      </c>
      <c r="M54" s="163">
        <f t="shared" ca="1" si="7"/>
        <v>0.20715</v>
      </c>
      <c r="N54" s="205">
        <f t="shared" ca="1" si="8"/>
        <v>0.20715</v>
      </c>
      <c r="O54" s="164">
        <v>0.5</v>
      </c>
      <c r="P54" s="165">
        <v>0.10792</v>
      </c>
      <c r="Q54" s="165"/>
    </row>
    <row r="55" spans="1:17" x14ac:dyDescent="0.2">
      <c r="A55" s="63">
        <v>11</v>
      </c>
      <c r="B55" s="13"/>
      <c r="C55" s="15" t="str">
        <f t="shared" si="3"/>
        <v/>
      </c>
      <c r="D55" s="18">
        <v>0</v>
      </c>
      <c r="E55" s="27"/>
      <c r="F55" s="24"/>
      <c r="G55" s="64" t="str">
        <f t="shared" si="4"/>
        <v/>
      </c>
      <c r="H55" s="24"/>
      <c r="I55" s="24"/>
      <c r="J55" s="24"/>
      <c r="K55" s="203">
        <f t="shared" ca="1" si="5"/>
        <v>0.20715</v>
      </c>
      <c r="L55" s="163">
        <f t="shared" ca="1" si="6"/>
        <v>0.20715</v>
      </c>
      <c r="M55" s="163">
        <f t="shared" ca="1" si="7"/>
        <v>0.20715</v>
      </c>
      <c r="N55" s="205">
        <f t="shared" ca="1" si="8"/>
        <v>0.20715</v>
      </c>
      <c r="O55" s="164" t="s">
        <v>60</v>
      </c>
      <c r="P55" s="165">
        <v>0.10847</v>
      </c>
      <c r="Q55" s="165"/>
    </row>
    <row r="56" spans="1:17" x14ac:dyDescent="0.2">
      <c r="A56" s="63">
        <v>12</v>
      </c>
      <c r="B56" s="13"/>
      <c r="C56" s="15" t="str">
        <f t="shared" si="3"/>
        <v/>
      </c>
      <c r="D56" s="18">
        <v>0</v>
      </c>
      <c r="E56" s="27"/>
      <c r="F56" s="24"/>
      <c r="G56" s="64" t="str">
        <f t="shared" si="4"/>
        <v/>
      </c>
      <c r="H56" s="24"/>
      <c r="I56" s="24"/>
      <c r="J56" s="24"/>
      <c r="K56" s="203">
        <f t="shared" ca="1" si="5"/>
        <v>0.20715</v>
      </c>
      <c r="L56" s="163">
        <f t="shared" ca="1" si="6"/>
        <v>0.20715</v>
      </c>
      <c r="M56" s="163">
        <f t="shared" ca="1" si="7"/>
        <v>0.20715</v>
      </c>
      <c r="N56" s="205">
        <f t="shared" ca="1" si="8"/>
        <v>0.20715</v>
      </c>
      <c r="O56" s="164" t="s">
        <v>61</v>
      </c>
      <c r="P56" s="165">
        <v>0.10851</v>
      </c>
      <c r="Q56" s="165"/>
    </row>
    <row r="57" spans="1:17" x14ac:dyDescent="0.2">
      <c r="A57" s="63">
        <v>13</v>
      </c>
      <c r="B57" s="13"/>
      <c r="C57" s="15" t="str">
        <f t="shared" si="3"/>
        <v/>
      </c>
      <c r="D57" s="18">
        <v>0</v>
      </c>
      <c r="E57" s="27"/>
      <c r="F57" s="24"/>
      <c r="G57" s="64" t="str">
        <f t="shared" si="4"/>
        <v/>
      </c>
      <c r="H57" s="24"/>
      <c r="I57" s="24"/>
      <c r="J57" s="24"/>
      <c r="K57" s="203">
        <f t="shared" ca="1" si="5"/>
        <v>0.20715</v>
      </c>
      <c r="L57" s="163">
        <f t="shared" ca="1" si="6"/>
        <v>0.20715</v>
      </c>
      <c r="M57" s="163">
        <f t="shared" ca="1" si="7"/>
        <v>0.20715</v>
      </c>
      <c r="N57" s="205">
        <f t="shared" ca="1" si="8"/>
        <v>0.20715</v>
      </c>
      <c r="O57" s="164">
        <v>0.98989898989898994</v>
      </c>
      <c r="P57" s="165">
        <v>0.10739</v>
      </c>
      <c r="Q57" s="165"/>
    </row>
    <row r="58" spans="1:17" x14ac:dyDescent="0.2">
      <c r="A58" s="63">
        <v>14</v>
      </c>
      <c r="B58" s="13"/>
      <c r="C58" s="15" t="str">
        <f t="shared" si="3"/>
        <v/>
      </c>
      <c r="D58" s="18">
        <v>0</v>
      </c>
      <c r="E58" s="27"/>
      <c r="F58" s="24"/>
      <c r="G58" s="64" t="str">
        <f t="shared" si="4"/>
        <v/>
      </c>
      <c r="H58" s="24"/>
      <c r="I58" s="24"/>
      <c r="J58" s="24"/>
      <c r="K58" s="203">
        <f t="shared" ca="1" si="5"/>
        <v>0.20715</v>
      </c>
      <c r="L58" s="163">
        <f t="shared" ca="1" si="6"/>
        <v>0.20715</v>
      </c>
      <c r="M58" s="163">
        <f t="shared" ca="1" si="7"/>
        <v>0.20715</v>
      </c>
      <c r="N58" s="205">
        <f t="shared" ca="1" si="8"/>
        <v>0.20715</v>
      </c>
      <c r="O58" s="164">
        <v>0.98979591836734693</v>
      </c>
      <c r="P58" s="165">
        <v>0.11046</v>
      </c>
      <c r="Q58" s="165"/>
    </row>
    <row r="59" spans="1:17" x14ac:dyDescent="0.2">
      <c r="A59" s="63">
        <v>15</v>
      </c>
      <c r="B59" s="13"/>
      <c r="C59" s="15" t="str">
        <f t="shared" si="3"/>
        <v/>
      </c>
      <c r="D59" s="18">
        <v>0</v>
      </c>
      <c r="E59" s="27"/>
      <c r="F59" s="24"/>
      <c r="G59" s="64" t="str">
        <f t="shared" si="4"/>
        <v/>
      </c>
      <c r="H59" s="24"/>
      <c r="I59" s="24"/>
      <c r="J59" s="24"/>
      <c r="K59" s="203">
        <f t="shared" ca="1" si="5"/>
        <v>0.20715</v>
      </c>
      <c r="L59" s="163">
        <f t="shared" ca="1" si="6"/>
        <v>0.20715</v>
      </c>
      <c r="M59" s="163">
        <f t="shared" ca="1" si="7"/>
        <v>0.20715</v>
      </c>
      <c r="N59" s="205">
        <f t="shared" ca="1" si="8"/>
        <v>0.20715</v>
      </c>
      <c r="O59" s="164"/>
      <c r="P59" s="165"/>
      <c r="Q59" s="165"/>
    </row>
    <row r="60" spans="1:17" x14ac:dyDescent="0.2">
      <c r="A60" s="63">
        <v>16</v>
      </c>
      <c r="B60" s="13"/>
      <c r="C60" s="15" t="str">
        <f t="shared" si="3"/>
        <v/>
      </c>
      <c r="D60" s="18">
        <v>0</v>
      </c>
      <c r="E60" s="27"/>
      <c r="F60" s="24"/>
      <c r="G60" s="64" t="str">
        <f t="shared" si="4"/>
        <v/>
      </c>
      <c r="H60" s="24"/>
      <c r="I60" s="24"/>
      <c r="J60" s="24"/>
      <c r="K60" s="203">
        <f t="shared" ca="1" si="5"/>
        <v>0.20715</v>
      </c>
      <c r="L60" s="163">
        <f t="shared" ca="1" si="6"/>
        <v>0.20715</v>
      </c>
      <c r="M60" s="163">
        <f t="shared" ca="1" si="7"/>
        <v>0.20715</v>
      </c>
      <c r="N60" s="205">
        <f t="shared" ca="1" si="8"/>
        <v>0.20715</v>
      </c>
      <c r="O60" s="164"/>
      <c r="P60" s="165"/>
      <c r="Q60" s="165"/>
    </row>
    <row r="61" spans="1:17" x14ac:dyDescent="0.2">
      <c r="A61" s="63">
        <v>17</v>
      </c>
      <c r="B61" s="13"/>
      <c r="C61" s="15" t="str">
        <f t="shared" si="3"/>
        <v/>
      </c>
      <c r="D61" s="18">
        <v>0</v>
      </c>
      <c r="E61" s="27"/>
      <c r="F61" s="24"/>
      <c r="G61" s="64" t="str">
        <f t="shared" si="4"/>
        <v/>
      </c>
      <c r="H61" s="24"/>
      <c r="I61" s="24"/>
      <c r="J61" s="24"/>
      <c r="K61" s="203">
        <f t="shared" ca="1" si="5"/>
        <v>0.20715</v>
      </c>
      <c r="L61" s="163">
        <f t="shared" ca="1" si="6"/>
        <v>0.20715</v>
      </c>
      <c r="M61" s="163">
        <f t="shared" ca="1" si="7"/>
        <v>0.20715</v>
      </c>
      <c r="N61" s="205">
        <f t="shared" ca="1" si="8"/>
        <v>0.20715</v>
      </c>
      <c r="O61" s="164"/>
      <c r="P61" s="165"/>
      <c r="Q61" s="165"/>
    </row>
    <row r="62" spans="1:17" x14ac:dyDescent="0.2">
      <c r="A62" s="63">
        <v>18</v>
      </c>
      <c r="B62" s="13"/>
      <c r="C62" s="15" t="str">
        <f t="shared" si="3"/>
        <v/>
      </c>
      <c r="D62" s="18">
        <v>0</v>
      </c>
      <c r="E62" s="27"/>
      <c r="F62" s="24"/>
      <c r="G62" s="64" t="str">
        <f t="shared" si="4"/>
        <v/>
      </c>
      <c r="H62" s="24"/>
      <c r="I62" s="24"/>
      <c r="J62" s="24"/>
      <c r="K62" s="203">
        <f t="shared" ca="1" si="5"/>
        <v>0.20715</v>
      </c>
      <c r="L62" s="163">
        <f t="shared" ca="1" si="6"/>
        <v>0.20715</v>
      </c>
      <c r="M62" s="163">
        <f t="shared" ca="1" si="7"/>
        <v>0.20715</v>
      </c>
      <c r="N62" s="205">
        <f t="shared" ca="1" si="8"/>
        <v>0.20715</v>
      </c>
      <c r="O62" s="164"/>
      <c r="P62" s="165"/>
      <c r="Q62" s="165"/>
    </row>
    <row r="63" spans="1:17" x14ac:dyDescent="0.2">
      <c r="A63" s="63">
        <v>19</v>
      </c>
      <c r="B63" s="13"/>
      <c r="C63" s="15" t="str">
        <f t="shared" ref="C63:C126" si="9">IF(B63="","",K63)</f>
        <v/>
      </c>
      <c r="D63" s="18">
        <v>0</v>
      </c>
      <c r="E63" s="27"/>
      <c r="F63" s="24"/>
      <c r="G63" s="64" t="str">
        <f t="shared" si="4"/>
        <v/>
      </c>
      <c r="H63" s="24"/>
      <c r="I63" s="24"/>
      <c r="J63" s="24"/>
      <c r="K63" s="203">
        <f t="shared" ref="K63:K126" ca="1" si="10">ROUND(IF($E$17=2021,$P$45*1.05*1.05*1.05*1.05*1.05*1.05*1.05*1.05*1.05*1.05,IF($E$17=2020,$P$45*1.05*1.05*1.05*1.05*1.05*1.05*1.05*1.05*1.05,IF($E$17=2019,$P$45*1.05*1.05*1.05*1.05*1.05*1.05*1.05*1.05,IF($E$17=2018,$P$45*1.05*1.05*1.05*1.05*1.05*1.05*1.05,IF($E$17=2017,$P$45*1.05*1.05*1.05*1.05*1.05*1.05,IF($E$17=2016,$P$45*1.05*1.05*1.05*1.05*1.05,L63)))))),5)</f>
        <v>0.20715</v>
      </c>
      <c r="L63" s="163">
        <f t="shared" ref="L63:L126" ca="1" si="11">ROUND(IF($E$17=2015,$P$45*1.05*1.05*1.05*1.05,IF($E$17=2014,$P$45*1.05*1.05*1.05,IF($E$17=2013,$P$45*1.05*1.05,IF($E$17=2012,$P$45*1.05,IF($E$17=2011,$P$45,IF($E$17=2010,$P$46,IF($E$17=2009,$P$47,M63))))))),5)</f>
        <v>0.20715</v>
      </c>
      <c r="M63" s="163">
        <f t="shared" ref="M63:M126" ca="1" si="12">IF($E$17=2008,$P$48,IF($E$17=2007,$P$49,IF($E$17=2006,$P$50,IF($E$17=2005,$P$51,IF($E$17=2004,$P$52,IF($E$17=2003,$P$53,IF($E$17=2002,$P$54,N63)))))))</f>
        <v>0.20715</v>
      </c>
      <c r="N63" s="205">
        <f t="shared" ref="N63:N126" ca="1" si="13">IF($E$17=2001,$P$55,IF($E$17=2000,$P$56,IF($E$17=1999,$P$57,IF($E$17=1998,$P$58,K63))))</f>
        <v>0.20715</v>
      </c>
      <c r="O63" s="164"/>
      <c r="P63" s="165"/>
      <c r="Q63" s="165"/>
    </row>
    <row r="64" spans="1:17" x14ac:dyDescent="0.2">
      <c r="A64" s="63">
        <v>20</v>
      </c>
      <c r="B64" s="13"/>
      <c r="C64" s="15" t="str">
        <f t="shared" si="9"/>
        <v/>
      </c>
      <c r="D64" s="18">
        <v>0</v>
      </c>
      <c r="E64" s="27"/>
      <c r="F64" s="24"/>
      <c r="G64" s="64" t="str">
        <f t="shared" si="4"/>
        <v/>
      </c>
      <c r="H64" s="24"/>
      <c r="I64" s="24"/>
      <c r="J64" s="24"/>
      <c r="K64" s="203">
        <f t="shared" ca="1" si="10"/>
        <v>0.20715</v>
      </c>
      <c r="L64" s="163">
        <f t="shared" ca="1" si="11"/>
        <v>0.20715</v>
      </c>
      <c r="M64" s="163">
        <f t="shared" ca="1" si="12"/>
        <v>0.20715</v>
      </c>
      <c r="N64" s="205">
        <f t="shared" ca="1" si="13"/>
        <v>0.20715</v>
      </c>
      <c r="O64" s="164"/>
      <c r="P64" s="165"/>
      <c r="Q64" s="165"/>
    </row>
    <row r="65" spans="1:17" x14ac:dyDescent="0.2">
      <c r="A65" s="63">
        <v>21</v>
      </c>
      <c r="B65" s="13"/>
      <c r="C65" s="15" t="str">
        <f t="shared" si="9"/>
        <v/>
      </c>
      <c r="D65" s="18">
        <v>0</v>
      </c>
      <c r="E65" s="27"/>
      <c r="F65" s="24"/>
      <c r="G65" s="64" t="str">
        <f t="shared" si="4"/>
        <v/>
      </c>
      <c r="H65" s="24"/>
      <c r="I65" s="24"/>
      <c r="J65" s="24"/>
      <c r="K65" s="203">
        <f t="shared" ca="1" si="10"/>
        <v>0.20715</v>
      </c>
      <c r="L65" s="163">
        <f t="shared" ca="1" si="11"/>
        <v>0.20715</v>
      </c>
      <c r="M65" s="163">
        <f t="shared" ca="1" si="12"/>
        <v>0.20715</v>
      </c>
      <c r="N65" s="205">
        <f t="shared" ca="1" si="13"/>
        <v>0.20715</v>
      </c>
      <c r="O65" s="164"/>
      <c r="P65" s="165"/>
      <c r="Q65" s="165"/>
    </row>
    <row r="66" spans="1:17" x14ac:dyDescent="0.2">
      <c r="A66" s="63">
        <v>22</v>
      </c>
      <c r="B66" s="13"/>
      <c r="C66" s="15" t="str">
        <f t="shared" si="9"/>
        <v/>
      </c>
      <c r="D66" s="18">
        <v>0</v>
      </c>
      <c r="E66" s="27"/>
      <c r="F66" s="24"/>
      <c r="G66" s="64" t="str">
        <f t="shared" si="4"/>
        <v/>
      </c>
      <c r="H66" s="24"/>
      <c r="I66" s="24"/>
      <c r="J66" s="24"/>
      <c r="K66" s="203">
        <f t="shared" ca="1" si="10"/>
        <v>0.20715</v>
      </c>
      <c r="L66" s="163">
        <f t="shared" ca="1" si="11"/>
        <v>0.20715</v>
      </c>
      <c r="M66" s="163">
        <f t="shared" ca="1" si="12"/>
        <v>0.20715</v>
      </c>
      <c r="N66" s="205">
        <f t="shared" ca="1" si="13"/>
        <v>0.20715</v>
      </c>
      <c r="O66" s="164"/>
      <c r="P66" s="165"/>
      <c r="Q66" s="165"/>
    </row>
    <row r="67" spans="1:17" x14ac:dyDescent="0.2">
      <c r="A67" s="63">
        <v>23</v>
      </c>
      <c r="B67" s="13"/>
      <c r="C67" s="15" t="str">
        <f t="shared" si="9"/>
        <v/>
      </c>
      <c r="D67" s="18">
        <v>0</v>
      </c>
      <c r="E67" s="27"/>
      <c r="F67" s="24"/>
      <c r="G67" s="64" t="str">
        <f t="shared" si="4"/>
        <v/>
      </c>
      <c r="H67" s="24"/>
      <c r="I67" s="24"/>
      <c r="J67" s="24"/>
      <c r="K67" s="203">
        <f t="shared" ca="1" si="10"/>
        <v>0.20715</v>
      </c>
      <c r="L67" s="163">
        <f t="shared" ca="1" si="11"/>
        <v>0.20715</v>
      </c>
      <c r="M67" s="163">
        <f t="shared" ca="1" si="12"/>
        <v>0.20715</v>
      </c>
      <c r="N67" s="205">
        <f t="shared" ca="1" si="13"/>
        <v>0.20715</v>
      </c>
      <c r="O67" s="164"/>
      <c r="P67" s="165"/>
      <c r="Q67" s="165"/>
    </row>
    <row r="68" spans="1:17" x14ac:dyDescent="0.2">
      <c r="A68" s="63">
        <v>24</v>
      </c>
      <c r="B68" s="13"/>
      <c r="C68" s="15" t="str">
        <f t="shared" si="9"/>
        <v/>
      </c>
      <c r="D68" s="18">
        <v>0</v>
      </c>
      <c r="E68" s="27"/>
      <c r="F68" s="24"/>
      <c r="G68" s="64" t="str">
        <f t="shared" si="4"/>
        <v/>
      </c>
      <c r="H68" s="24"/>
      <c r="I68" s="24"/>
      <c r="J68" s="24"/>
      <c r="K68" s="203">
        <f t="shared" ca="1" si="10"/>
        <v>0.20715</v>
      </c>
      <c r="L68" s="163">
        <f t="shared" ca="1" si="11"/>
        <v>0.20715</v>
      </c>
      <c r="M68" s="163">
        <f t="shared" ca="1" si="12"/>
        <v>0.20715</v>
      </c>
      <c r="N68" s="205">
        <f t="shared" ca="1" si="13"/>
        <v>0.20715</v>
      </c>
      <c r="O68" s="164"/>
      <c r="P68" s="165"/>
      <c r="Q68" s="165"/>
    </row>
    <row r="69" spans="1:17" x14ac:dyDescent="0.2">
      <c r="A69" s="63">
        <v>25</v>
      </c>
      <c r="B69" s="13"/>
      <c r="C69" s="15" t="str">
        <f t="shared" si="9"/>
        <v/>
      </c>
      <c r="D69" s="18">
        <v>0</v>
      </c>
      <c r="E69" s="27"/>
      <c r="F69" s="24"/>
      <c r="G69" s="64" t="str">
        <f t="shared" si="4"/>
        <v/>
      </c>
      <c r="H69" s="24"/>
      <c r="I69" s="24"/>
      <c r="J69" s="24"/>
      <c r="K69" s="203">
        <f t="shared" ca="1" si="10"/>
        <v>0.20715</v>
      </c>
      <c r="L69" s="163">
        <f t="shared" ca="1" si="11"/>
        <v>0.20715</v>
      </c>
      <c r="M69" s="163">
        <f t="shared" ca="1" si="12"/>
        <v>0.20715</v>
      </c>
      <c r="N69" s="205">
        <f t="shared" ca="1" si="13"/>
        <v>0.20715</v>
      </c>
      <c r="O69" s="164"/>
      <c r="P69" s="165"/>
      <c r="Q69" s="165"/>
    </row>
    <row r="70" spans="1:17" x14ac:dyDescent="0.2">
      <c r="A70" s="63">
        <v>26</v>
      </c>
      <c r="B70" s="13"/>
      <c r="C70" s="15" t="str">
        <f t="shared" si="9"/>
        <v/>
      </c>
      <c r="D70" s="18">
        <v>0</v>
      </c>
      <c r="E70" s="27"/>
      <c r="F70" s="24"/>
      <c r="G70" s="64" t="str">
        <f t="shared" si="4"/>
        <v/>
      </c>
      <c r="H70" s="24"/>
      <c r="I70" s="24"/>
      <c r="J70" s="24"/>
      <c r="K70" s="203">
        <f t="shared" ca="1" si="10"/>
        <v>0.20715</v>
      </c>
      <c r="L70" s="163">
        <f t="shared" ca="1" si="11"/>
        <v>0.20715</v>
      </c>
      <c r="M70" s="163">
        <f t="shared" ca="1" si="12"/>
        <v>0.20715</v>
      </c>
      <c r="N70" s="205">
        <f t="shared" ca="1" si="13"/>
        <v>0.20715</v>
      </c>
      <c r="O70" s="164"/>
      <c r="P70" s="165"/>
      <c r="Q70" s="165"/>
    </row>
    <row r="71" spans="1:17" x14ac:dyDescent="0.2">
      <c r="A71" s="63">
        <v>27</v>
      </c>
      <c r="B71" s="13"/>
      <c r="C71" s="15" t="str">
        <f t="shared" si="9"/>
        <v/>
      </c>
      <c r="D71" s="18">
        <v>0</v>
      </c>
      <c r="E71" s="27"/>
      <c r="F71" s="24"/>
      <c r="G71" s="64" t="str">
        <f t="shared" si="4"/>
        <v/>
      </c>
      <c r="H71" s="24"/>
      <c r="I71" s="24"/>
      <c r="J71" s="24"/>
      <c r="K71" s="203">
        <f t="shared" ca="1" si="10"/>
        <v>0.20715</v>
      </c>
      <c r="L71" s="163">
        <f t="shared" ca="1" si="11"/>
        <v>0.20715</v>
      </c>
      <c r="M71" s="163">
        <f t="shared" ca="1" si="12"/>
        <v>0.20715</v>
      </c>
      <c r="N71" s="205">
        <f t="shared" ca="1" si="13"/>
        <v>0.20715</v>
      </c>
      <c r="O71" s="164"/>
      <c r="P71" s="165"/>
      <c r="Q71" s="165"/>
    </row>
    <row r="72" spans="1:17" x14ac:dyDescent="0.2">
      <c r="A72" s="63">
        <v>28</v>
      </c>
      <c r="B72" s="13"/>
      <c r="C72" s="15" t="str">
        <f t="shared" si="9"/>
        <v/>
      </c>
      <c r="D72" s="18">
        <v>0</v>
      </c>
      <c r="E72" s="27"/>
      <c r="F72" s="24"/>
      <c r="G72" s="64" t="str">
        <f t="shared" si="4"/>
        <v/>
      </c>
      <c r="H72" s="24"/>
      <c r="I72" s="24"/>
      <c r="J72" s="24"/>
      <c r="K72" s="203">
        <f t="shared" ca="1" si="10"/>
        <v>0.20715</v>
      </c>
      <c r="L72" s="163">
        <f t="shared" ca="1" si="11"/>
        <v>0.20715</v>
      </c>
      <c r="M72" s="163">
        <f t="shared" ca="1" si="12"/>
        <v>0.20715</v>
      </c>
      <c r="N72" s="205">
        <f t="shared" ca="1" si="13"/>
        <v>0.20715</v>
      </c>
      <c r="O72" s="164"/>
      <c r="P72" s="165"/>
      <c r="Q72" s="165"/>
    </row>
    <row r="73" spans="1:17" x14ac:dyDescent="0.2">
      <c r="A73" s="63">
        <v>29</v>
      </c>
      <c r="B73" s="13"/>
      <c r="C73" s="15" t="str">
        <f t="shared" si="9"/>
        <v/>
      </c>
      <c r="D73" s="18">
        <v>0</v>
      </c>
      <c r="E73" s="27"/>
      <c r="F73" s="24"/>
      <c r="G73" s="64" t="str">
        <f t="shared" si="4"/>
        <v/>
      </c>
      <c r="H73" s="24"/>
      <c r="I73" s="24"/>
      <c r="J73" s="24"/>
      <c r="K73" s="203">
        <f t="shared" ca="1" si="10"/>
        <v>0.20715</v>
      </c>
      <c r="L73" s="163">
        <f t="shared" ca="1" si="11"/>
        <v>0.20715</v>
      </c>
      <c r="M73" s="163">
        <f t="shared" ca="1" si="12"/>
        <v>0.20715</v>
      </c>
      <c r="N73" s="205">
        <f t="shared" ca="1" si="13"/>
        <v>0.20715</v>
      </c>
      <c r="O73" s="164"/>
      <c r="P73" s="165"/>
      <c r="Q73" s="165"/>
    </row>
    <row r="74" spans="1:17" x14ac:dyDescent="0.2">
      <c r="A74" s="63">
        <v>30</v>
      </c>
      <c r="B74" s="13"/>
      <c r="C74" s="15" t="str">
        <f t="shared" si="9"/>
        <v/>
      </c>
      <c r="D74" s="18">
        <v>0</v>
      </c>
      <c r="E74" s="27"/>
      <c r="F74" s="24"/>
      <c r="G74" s="64" t="str">
        <f t="shared" si="4"/>
        <v/>
      </c>
      <c r="H74" s="24"/>
      <c r="I74" s="24"/>
      <c r="J74" s="24"/>
      <c r="K74" s="203">
        <f t="shared" ca="1" si="10"/>
        <v>0.20715</v>
      </c>
      <c r="L74" s="163">
        <f t="shared" ca="1" si="11"/>
        <v>0.20715</v>
      </c>
      <c r="M74" s="163">
        <f t="shared" ca="1" si="12"/>
        <v>0.20715</v>
      </c>
      <c r="N74" s="205">
        <f t="shared" ca="1" si="13"/>
        <v>0.20715</v>
      </c>
      <c r="O74" s="164"/>
      <c r="P74" s="165"/>
      <c r="Q74" s="165"/>
    </row>
    <row r="75" spans="1:17" x14ac:dyDescent="0.2">
      <c r="A75" s="63">
        <v>31</v>
      </c>
      <c r="B75" s="13"/>
      <c r="C75" s="15" t="str">
        <f t="shared" si="9"/>
        <v/>
      </c>
      <c r="D75" s="18">
        <v>0</v>
      </c>
      <c r="E75" s="27"/>
      <c r="F75" s="24"/>
      <c r="G75" s="64" t="str">
        <f t="shared" si="4"/>
        <v/>
      </c>
      <c r="H75" s="24"/>
      <c r="I75" s="24"/>
      <c r="J75" s="24"/>
      <c r="K75" s="203">
        <f t="shared" ca="1" si="10"/>
        <v>0.20715</v>
      </c>
      <c r="L75" s="163">
        <f t="shared" ca="1" si="11"/>
        <v>0.20715</v>
      </c>
      <c r="M75" s="163">
        <f t="shared" ca="1" si="12"/>
        <v>0.20715</v>
      </c>
      <c r="N75" s="205">
        <f t="shared" ca="1" si="13"/>
        <v>0.20715</v>
      </c>
      <c r="O75" s="164"/>
      <c r="P75" s="165"/>
      <c r="Q75" s="165"/>
    </row>
    <row r="76" spans="1:17" x14ac:dyDescent="0.2">
      <c r="A76" s="63">
        <v>32</v>
      </c>
      <c r="B76" s="13"/>
      <c r="C76" s="15" t="str">
        <f t="shared" si="9"/>
        <v/>
      </c>
      <c r="D76" s="18">
        <v>0</v>
      </c>
      <c r="E76" s="27"/>
      <c r="F76" s="24"/>
      <c r="G76" s="64" t="str">
        <f t="shared" si="4"/>
        <v/>
      </c>
      <c r="H76" s="24"/>
      <c r="I76" s="24"/>
      <c r="J76" s="24"/>
      <c r="K76" s="203">
        <f t="shared" ca="1" si="10"/>
        <v>0.20715</v>
      </c>
      <c r="L76" s="163">
        <f t="shared" ca="1" si="11"/>
        <v>0.20715</v>
      </c>
      <c r="M76" s="163">
        <f t="shared" ca="1" si="12"/>
        <v>0.20715</v>
      </c>
      <c r="N76" s="205">
        <f t="shared" ca="1" si="13"/>
        <v>0.20715</v>
      </c>
      <c r="O76" s="164"/>
      <c r="P76" s="165"/>
      <c r="Q76" s="165"/>
    </row>
    <row r="77" spans="1:17" x14ac:dyDescent="0.2">
      <c r="A77" s="63">
        <v>33</v>
      </c>
      <c r="B77" s="13"/>
      <c r="C77" s="15" t="str">
        <f t="shared" si="9"/>
        <v/>
      </c>
      <c r="D77" s="18">
        <v>0</v>
      </c>
      <c r="E77" s="27"/>
      <c r="F77" s="24"/>
      <c r="G77" s="64" t="str">
        <f t="shared" si="4"/>
        <v/>
      </c>
      <c r="H77" s="24"/>
      <c r="I77" s="24"/>
      <c r="J77" s="24"/>
      <c r="K77" s="203">
        <f t="shared" ca="1" si="10"/>
        <v>0.20715</v>
      </c>
      <c r="L77" s="163">
        <f t="shared" ca="1" si="11"/>
        <v>0.20715</v>
      </c>
      <c r="M77" s="163">
        <f t="shared" ca="1" si="12"/>
        <v>0.20715</v>
      </c>
      <c r="N77" s="205">
        <f t="shared" ca="1" si="13"/>
        <v>0.20715</v>
      </c>
      <c r="O77" s="164"/>
      <c r="P77" s="165"/>
      <c r="Q77" s="165"/>
    </row>
    <row r="78" spans="1:17" x14ac:dyDescent="0.2">
      <c r="A78" s="63">
        <v>34</v>
      </c>
      <c r="B78" s="13"/>
      <c r="C78" s="15" t="str">
        <f t="shared" si="9"/>
        <v/>
      </c>
      <c r="D78" s="18">
        <v>0</v>
      </c>
      <c r="E78" s="27"/>
      <c r="F78" s="24"/>
      <c r="G78" s="64" t="str">
        <f t="shared" si="4"/>
        <v/>
      </c>
      <c r="H78" s="24"/>
      <c r="I78" s="24"/>
      <c r="J78" s="24"/>
      <c r="K78" s="203">
        <f t="shared" ca="1" si="10"/>
        <v>0.20715</v>
      </c>
      <c r="L78" s="163">
        <f t="shared" ca="1" si="11"/>
        <v>0.20715</v>
      </c>
      <c r="M78" s="163">
        <f t="shared" ca="1" si="12"/>
        <v>0.20715</v>
      </c>
      <c r="N78" s="205">
        <f t="shared" ca="1" si="13"/>
        <v>0.20715</v>
      </c>
      <c r="O78" s="164"/>
      <c r="P78" s="165"/>
      <c r="Q78" s="165"/>
    </row>
    <row r="79" spans="1:17" x14ac:dyDescent="0.2">
      <c r="A79" s="63">
        <v>35</v>
      </c>
      <c r="B79" s="13"/>
      <c r="C79" s="15" t="str">
        <f t="shared" si="9"/>
        <v/>
      </c>
      <c r="D79" s="18">
        <v>0</v>
      </c>
      <c r="E79" s="27"/>
      <c r="F79" s="24"/>
      <c r="G79" s="64" t="str">
        <f t="shared" si="4"/>
        <v/>
      </c>
      <c r="H79" s="24"/>
      <c r="I79" s="24"/>
      <c r="J79" s="24"/>
      <c r="K79" s="203">
        <f t="shared" ca="1" si="10"/>
        <v>0.20715</v>
      </c>
      <c r="L79" s="163">
        <f t="shared" ca="1" si="11"/>
        <v>0.20715</v>
      </c>
      <c r="M79" s="163">
        <f t="shared" ca="1" si="12"/>
        <v>0.20715</v>
      </c>
      <c r="N79" s="205">
        <f t="shared" ca="1" si="13"/>
        <v>0.20715</v>
      </c>
      <c r="O79" s="164"/>
      <c r="P79" s="165"/>
      <c r="Q79" s="165"/>
    </row>
    <row r="80" spans="1:17" x14ac:dyDescent="0.2">
      <c r="A80" s="63">
        <v>36</v>
      </c>
      <c r="B80" s="13"/>
      <c r="C80" s="15" t="str">
        <f t="shared" si="9"/>
        <v/>
      </c>
      <c r="D80" s="18">
        <v>0</v>
      </c>
      <c r="E80" s="27"/>
      <c r="F80" s="24"/>
      <c r="G80" s="64" t="str">
        <f t="shared" si="4"/>
        <v/>
      </c>
      <c r="H80" s="24"/>
      <c r="I80" s="24"/>
      <c r="J80" s="24"/>
      <c r="K80" s="203">
        <f t="shared" ca="1" si="10"/>
        <v>0.20715</v>
      </c>
      <c r="L80" s="163">
        <f t="shared" ca="1" si="11"/>
        <v>0.20715</v>
      </c>
      <c r="M80" s="163">
        <f t="shared" ca="1" si="12"/>
        <v>0.20715</v>
      </c>
      <c r="N80" s="205">
        <f t="shared" ca="1" si="13"/>
        <v>0.20715</v>
      </c>
      <c r="O80" s="164"/>
      <c r="P80" s="165"/>
      <c r="Q80" s="165"/>
    </row>
    <row r="81" spans="1:17" x14ac:dyDescent="0.2">
      <c r="A81" s="63">
        <v>37</v>
      </c>
      <c r="B81" s="13"/>
      <c r="C81" s="15" t="str">
        <f t="shared" si="9"/>
        <v/>
      </c>
      <c r="D81" s="18">
        <v>0</v>
      </c>
      <c r="E81" s="27"/>
      <c r="F81" s="24"/>
      <c r="G81" s="64" t="str">
        <f t="shared" si="4"/>
        <v/>
      </c>
      <c r="H81" s="24"/>
      <c r="I81" s="24"/>
      <c r="J81" s="24"/>
      <c r="K81" s="203">
        <f t="shared" ca="1" si="10"/>
        <v>0.20715</v>
      </c>
      <c r="L81" s="163">
        <f t="shared" ca="1" si="11"/>
        <v>0.20715</v>
      </c>
      <c r="M81" s="163">
        <f t="shared" ca="1" si="12"/>
        <v>0.20715</v>
      </c>
      <c r="N81" s="205">
        <f t="shared" ca="1" si="13"/>
        <v>0.20715</v>
      </c>
      <c r="O81" s="164"/>
      <c r="P81" s="165"/>
      <c r="Q81" s="165"/>
    </row>
    <row r="82" spans="1:17" x14ac:dyDescent="0.2">
      <c r="A82" s="63">
        <v>38</v>
      </c>
      <c r="B82" s="13"/>
      <c r="C82" s="15" t="str">
        <f t="shared" si="9"/>
        <v/>
      </c>
      <c r="D82" s="18">
        <v>0</v>
      </c>
      <c r="E82" s="27"/>
      <c r="F82" s="24"/>
      <c r="G82" s="64" t="str">
        <f t="shared" si="4"/>
        <v/>
      </c>
      <c r="H82" s="24"/>
      <c r="I82" s="24"/>
      <c r="J82" s="24"/>
      <c r="K82" s="203">
        <f t="shared" ca="1" si="10"/>
        <v>0.20715</v>
      </c>
      <c r="L82" s="163">
        <f t="shared" ca="1" si="11"/>
        <v>0.20715</v>
      </c>
      <c r="M82" s="163">
        <f t="shared" ca="1" si="12"/>
        <v>0.20715</v>
      </c>
      <c r="N82" s="205">
        <f t="shared" ca="1" si="13"/>
        <v>0.20715</v>
      </c>
      <c r="O82" s="164"/>
      <c r="P82" s="165"/>
      <c r="Q82" s="165"/>
    </row>
    <row r="83" spans="1:17" x14ac:dyDescent="0.2">
      <c r="A83" s="63">
        <v>39</v>
      </c>
      <c r="B83" s="13"/>
      <c r="C83" s="15" t="str">
        <f t="shared" si="9"/>
        <v/>
      </c>
      <c r="D83" s="18">
        <v>0</v>
      </c>
      <c r="E83" s="27"/>
      <c r="F83" s="24"/>
      <c r="G83" s="64" t="str">
        <f t="shared" si="4"/>
        <v/>
      </c>
      <c r="H83" s="24"/>
      <c r="I83" s="24"/>
      <c r="J83" s="24"/>
      <c r="K83" s="203">
        <f t="shared" ca="1" si="10"/>
        <v>0.20715</v>
      </c>
      <c r="L83" s="163">
        <f t="shared" ca="1" si="11"/>
        <v>0.20715</v>
      </c>
      <c r="M83" s="163">
        <f t="shared" ca="1" si="12"/>
        <v>0.20715</v>
      </c>
      <c r="N83" s="205">
        <f t="shared" ca="1" si="13"/>
        <v>0.20715</v>
      </c>
      <c r="O83" s="164"/>
      <c r="P83" s="165"/>
      <c r="Q83" s="165"/>
    </row>
    <row r="84" spans="1:17" x14ac:dyDescent="0.2">
      <c r="A84" s="63">
        <v>40</v>
      </c>
      <c r="B84" s="13"/>
      <c r="C84" s="15" t="str">
        <f t="shared" si="9"/>
        <v/>
      </c>
      <c r="D84" s="18">
        <v>0</v>
      </c>
      <c r="E84" s="27"/>
      <c r="F84" s="24"/>
      <c r="G84" s="64" t="str">
        <f t="shared" si="4"/>
        <v/>
      </c>
      <c r="H84" s="24"/>
      <c r="I84" s="24"/>
      <c r="J84" s="24"/>
      <c r="K84" s="203">
        <f t="shared" ca="1" si="10"/>
        <v>0.20715</v>
      </c>
      <c r="L84" s="163">
        <f t="shared" ca="1" si="11"/>
        <v>0.20715</v>
      </c>
      <c r="M84" s="163">
        <f t="shared" ca="1" si="12"/>
        <v>0.20715</v>
      </c>
      <c r="N84" s="205">
        <f t="shared" ca="1" si="13"/>
        <v>0.20715</v>
      </c>
      <c r="O84" s="164"/>
      <c r="P84" s="165"/>
      <c r="Q84" s="165"/>
    </row>
    <row r="85" spans="1:17" x14ac:dyDescent="0.2">
      <c r="A85" s="63">
        <v>41</v>
      </c>
      <c r="B85" s="13"/>
      <c r="C85" s="15" t="str">
        <f t="shared" si="9"/>
        <v/>
      </c>
      <c r="D85" s="18">
        <v>0</v>
      </c>
      <c r="E85" s="27"/>
      <c r="F85" s="24"/>
      <c r="G85" s="64" t="str">
        <f t="shared" si="4"/>
        <v/>
      </c>
      <c r="H85" s="24"/>
      <c r="I85" s="24"/>
      <c r="J85" s="24"/>
      <c r="K85" s="203">
        <f t="shared" ca="1" si="10"/>
        <v>0.20715</v>
      </c>
      <c r="L85" s="163">
        <f t="shared" ca="1" si="11"/>
        <v>0.20715</v>
      </c>
      <c r="M85" s="163">
        <f t="shared" ca="1" si="12"/>
        <v>0.20715</v>
      </c>
      <c r="N85" s="205">
        <f t="shared" ca="1" si="13"/>
        <v>0.20715</v>
      </c>
      <c r="O85" s="164"/>
      <c r="P85" s="165"/>
      <c r="Q85" s="165"/>
    </row>
    <row r="86" spans="1:17" x14ac:dyDescent="0.2">
      <c r="A86" s="63">
        <v>42</v>
      </c>
      <c r="B86" s="13"/>
      <c r="C86" s="15" t="str">
        <f t="shared" si="9"/>
        <v/>
      </c>
      <c r="D86" s="18">
        <v>0</v>
      </c>
      <c r="E86" s="27"/>
      <c r="F86" s="24"/>
      <c r="G86" s="64" t="str">
        <f t="shared" si="4"/>
        <v/>
      </c>
      <c r="H86" s="24"/>
      <c r="I86" s="24"/>
      <c r="J86" s="24"/>
      <c r="K86" s="203">
        <f t="shared" ca="1" si="10"/>
        <v>0.20715</v>
      </c>
      <c r="L86" s="163">
        <f t="shared" ca="1" si="11"/>
        <v>0.20715</v>
      </c>
      <c r="M86" s="163">
        <f t="shared" ca="1" si="12"/>
        <v>0.20715</v>
      </c>
      <c r="N86" s="205">
        <f t="shared" ca="1" si="13"/>
        <v>0.20715</v>
      </c>
      <c r="O86" s="164"/>
      <c r="P86" s="165"/>
      <c r="Q86" s="165"/>
    </row>
    <row r="87" spans="1:17" x14ac:dyDescent="0.2">
      <c r="A87" s="63">
        <v>43</v>
      </c>
      <c r="B87" s="13"/>
      <c r="C87" s="15" t="str">
        <f t="shared" si="9"/>
        <v/>
      </c>
      <c r="D87" s="18">
        <v>0</v>
      </c>
      <c r="E87" s="27"/>
      <c r="F87" s="24"/>
      <c r="G87" s="64" t="str">
        <f t="shared" si="4"/>
        <v/>
      </c>
      <c r="H87" s="24"/>
      <c r="I87" s="24"/>
      <c r="J87" s="24"/>
      <c r="K87" s="203">
        <f t="shared" ca="1" si="10"/>
        <v>0.20715</v>
      </c>
      <c r="L87" s="163">
        <f t="shared" ca="1" si="11"/>
        <v>0.20715</v>
      </c>
      <c r="M87" s="163">
        <f t="shared" ca="1" si="12"/>
        <v>0.20715</v>
      </c>
      <c r="N87" s="205">
        <f t="shared" ca="1" si="13"/>
        <v>0.20715</v>
      </c>
      <c r="O87" s="164"/>
      <c r="P87" s="165"/>
      <c r="Q87" s="165"/>
    </row>
    <row r="88" spans="1:17" x14ac:dyDescent="0.2">
      <c r="A88" s="63">
        <v>44</v>
      </c>
      <c r="B88" s="13"/>
      <c r="C88" s="15" t="str">
        <f t="shared" si="9"/>
        <v/>
      </c>
      <c r="D88" s="18">
        <v>0</v>
      </c>
      <c r="E88" s="27"/>
      <c r="F88" s="24"/>
      <c r="G88" s="64" t="str">
        <f t="shared" si="4"/>
        <v/>
      </c>
      <c r="H88" s="24"/>
      <c r="I88" s="24"/>
      <c r="J88" s="24"/>
      <c r="K88" s="203">
        <f t="shared" ca="1" si="10"/>
        <v>0.20715</v>
      </c>
      <c r="L88" s="163">
        <f t="shared" ca="1" si="11"/>
        <v>0.20715</v>
      </c>
      <c r="M88" s="163">
        <f t="shared" ca="1" si="12"/>
        <v>0.20715</v>
      </c>
      <c r="N88" s="205">
        <f t="shared" ca="1" si="13"/>
        <v>0.20715</v>
      </c>
      <c r="O88" s="164"/>
      <c r="P88" s="165"/>
      <c r="Q88" s="165"/>
    </row>
    <row r="89" spans="1:17" x14ac:dyDescent="0.2">
      <c r="A89" s="63">
        <v>45</v>
      </c>
      <c r="B89" s="13"/>
      <c r="C89" s="15" t="str">
        <f t="shared" si="9"/>
        <v/>
      </c>
      <c r="D89" s="18">
        <v>0</v>
      </c>
      <c r="E89" s="27"/>
      <c r="F89" s="24"/>
      <c r="G89" s="64" t="str">
        <f t="shared" si="4"/>
        <v/>
      </c>
      <c r="H89" s="24"/>
      <c r="I89" s="24"/>
      <c r="J89" s="24"/>
      <c r="K89" s="203">
        <f t="shared" ca="1" si="10"/>
        <v>0.20715</v>
      </c>
      <c r="L89" s="163">
        <f t="shared" ca="1" si="11"/>
        <v>0.20715</v>
      </c>
      <c r="M89" s="163">
        <f t="shared" ca="1" si="12"/>
        <v>0.20715</v>
      </c>
      <c r="N89" s="205">
        <f t="shared" ca="1" si="13"/>
        <v>0.20715</v>
      </c>
      <c r="O89" s="164"/>
      <c r="P89" s="165"/>
      <c r="Q89" s="165"/>
    </row>
    <row r="90" spans="1:17" x14ac:dyDescent="0.2">
      <c r="A90" s="63">
        <v>46</v>
      </c>
      <c r="B90" s="13"/>
      <c r="C90" s="15" t="str">
        <f t="shared" si="9"/>
        <v/>
      </c>
      <c r="D90" s="18">
        <v>0</v>
      </c>
      <c r="E90" s="27"/>
      <c r="F90" s="24"/>
      <c r="G90" s="64" t="str">
        <f t="shared" si="4"/>
        <v/>
      </c>
      <c r="H90" s="24"/>
      <c r="I90" s="24"/>
      <c r="J90" s="24"/>
      <c r="K90" s="203">
        <f t="shared" ca="1" si="10"/>
        <v>0.20715</v>
      </c>
      <c r="L90" s="163">
        <f t="shared" ca="1" si="11"/>
        <v>0.20715</v>
      </c>
      <c r="M90" s="163">
        <f t="shared" ca="1" si="12"/>
        <v>0.20715</v>
      </c>
      <c r="N90" s="205">
        <f t="shared" ca="1" si="13"/>
        <v>0.20715</v>
      </c>
      <c r="O90" s="164"/>
      <c r="P90" s="165"/>
      <c r="Q90" s="165"/>
    </row>
    <row r="91" spans="1:17" x14ac:dyDescent="0.2">
      <c r="A91" s="63">
        <v>47</v>
      </c>
      <c r="B91" s="13"/>
      <c r="C91" s="15" t="str">
        <f t="shared" si="9"/>
        <v/>
      </c>
      <c r="D91" s="18">
        <v>0</v>
      </c>
      <c r="E91" s="27"/>
      <c r="F91" s="24"/>
      <c r="G91" s="64" t="str">
        <f t="shared" si="4"/>
        <v/>
      </c>
      <c r="H91" s="24"/>
      <c r="I91" s="24"/>
      <c r="J91" s="24"/>
      <c r="K91" s="203">
        <f t="shared" ca="1" si="10"/>
        <v>0.20715</v>
      </c>
      <c r="L91" s="163">
        <f t="shared" ca="1" si="11"/>
        <v>0.20715</v>
      </c>
      <c r="M91" s="163">
        <f t="shared" ca="1" si="12"/>
        <v>0.20715</v>
      </c>
      <c r="N91" s="205">
        <f t="shared" ca="1" si="13"/>
        <v>0.20715</v>
      </c>
      <c r="O91" s="164"/>
      <c r="P91" s="165"/>
      <c r="Q91" s="165"/>
    </row>
    <row r="92" spans="1:17" x14ac:dyDescent="0.2">
      <c r="A92" s="63">
        <v>48</v>
      </c>
      <c r="B92" s="13"/>
      <c r="C92" s="15" t="str">
        <f t="shared" si="9"/>
        <v/>
      </c>
      <c r="D92" s="18">
        <v>0</v>
      </c>
      <c r="E92" s="27"/>
      <c r="F92" s="24"/>
      <c r="G92" s="64" t="str">
        <f t="shared" si="4"/>
        <v/>
      </c>
      <c r="H92" s="24"/>
      <c r="I92" s="24"/>
      <c r="J92" s="24"/>
      <c r="K92" s="203">
        <f t="shared" ca="1" si="10"/>
        <v>0.20715</v>
      </c>
      <c r="L92" s="163">
        <f t="shared" ca="1" si="11"/>
        <v>0.20715</v>
      </c>
      <c r="M92" s="163">
        <f t="shared" ca="1" si="12"/>
        <v>0.20715</v>
      </c>
      <c r="N92" s="205">
        <f t="shared" ca="1" si="13"/>
        <v>0.20715</v>
      </c>
      <c r="O92" s="164"/>
      <c r="P92" s="165"/>
      <c r="Q92" s="165"/>
    </row>
    <row r="93" spans="1:17" x14ac:dyDescent="0.2">
      <c r="A93" s="63">
        <v>49</v>
      </c>
      <c r="B93" s="13"/>
      <c r="C93" s="15" t="str">
        <f t="shared" si="9"/>
        <v/>
      </c>
      <c r="D93" s="18">
        <v>0</v>
      </c>
      <c r="E93" s="27"/>
      <c r="F93" s="24"/>
      <c r="G93" s="64" t="str">
        <f t="shared" si="4"/>
        <v/>
      </c>
      <c r="H93" s="24"/>
      <c r="I93" s="24"/>
      <c r="J93" s="24"/>
      <c r="K93" s="203">
        <f t="shared" ca="1" si="10"/>
        <v>0.20715</v>
      </c>
      <c r="L93" s="163">
        <f t="shared" ca="1" si="11"/>
        <v>0.20715</v>
      </c>
      <c r="M93" s="163">
        <f t="shared" ca="1" si="12"/>
        <v>0.20715</v>
      </c>
      <c r="N93" s="205">
        <f t="shared" ca="1" si="13"/>
        <v>0.20715</v>
      </c>
      <c r="O93" s="164"/>
      <c r="P93" s="165"/>
      <c r="Q93" s="165"/>
    </row>
    <row r="94" spans="1:17" x14ac:dyDescent="0.2">
      <c r="A94" s="63">
        <v>50</v>
      </c>
      <c r="B94" s="13"/>
      <c r="C94" s="15" t="str">
        <f t="shared" si="9"/>
        <v/>
      </c>
      <c r="D94" s="18">
        <v>0</v>
      </c>
      <c r="E94" s="27"/>
      <c r="F94" s="24"/>
      <c r="G94" s="64" t="str">
        <f t="shared" si="4"/>
        <v/>
      </c>
      <c r="H94" s="24"/>
      <c r="I94" s="24"/>
      <c r="J94" s="24"/>
      <c r="K94" s="203">
        <f t="shared" ca="1" si="10"/>
        <v>0.20715</v>
      </c>
      <c r="L94" s="163">
        <f t="shared" ca="1" si="11"/>
        <v>0.20715</v>
      </c>
      <c r="M94" s="163">
        <f t="shared" ca="1" si="12"/>
        <v>0.20715</v>
      </c>
      <c r="N94" s="205">
        <f t="shared" ca="1" si="13"/>
        <v>0.20715</v>
      </c>
      <c r="O94" s="164"/>
      <c r="P94" s="165"/>
      <c r="Q94" s="165"/>
    </row>
    <row r="95" spans="1:17" x14ac:dyDescent="0.2">
      <c r="A95" s="63">
        <v>51</v>
      </c>
      <c r="B95" s="13"/>
      <c r="C95" s="15" t="str">
        <f t="shared" si="9"/>
        <v/>
      </c>
      <c r="D95" s="18">
        <v>0</v>
      </c>
      <c r="E95" s="27"/>
      <c r="F95" s="24"/>
      <c r="G95" s="64" t="str">
        <f t="shared" si="4"/>
        <v/>
      </c>
      <c r="H95" s="24"/>
      <c r="I95" s="24"/>
      <c r="J95" s="24"/>
      <c r="K95" s="203">
        <f t="shared" ca="1" si="10"/>
        <v>0.20715</v>
      </c>
      <c r="L95" s="163">
        <f t="shared" ca="1" si="11"/>
        <v>0.20715</v>
      </c>
      <c r="M95" s="163">
        <f t="shared" ca="1" si="12"/>
        <v>0.20715</v>
      </c>
      <c r="N95" s="205">
        <f t="shared" ca="1" si="13"/>
        <v>0.20715</v>
      </c>
      <c r="O95" s="164"/>
      <c r="P95" s="165"/>
      <c r="Q95" s="165"/>
    </row>
    <row r="96" spans="1:17" x14ac:dyDescent="0.2">
      <c r="A96" s="63">
        <v>52</v>
      </c>
      <c r="B96" s="13"/>
      <c r="C96" s="15" t="str">
        <f t="shared" si="9"/>
        <v/>
      </c>
      <c r="D96" s="18">
        <v>0</v>
      </c>
      <c r="E96" s="27"/>
      <c r="F96" s="24"/>
      <c r="G96" s="64" t="str">
        <f t="shared" si="4"/>
        <v/>
      </c>
      <c r="H96" s="24"/>
      <c r="I96" s="24"/>
      <c r="J96" s="24"/>
      <c r="K96" s="203">
        <f t="shared" ca="1" si="10"/>
        <v>0.20715</v>
      </c>
      <c r="L96" s="163">
        <f t="shared" ca="1" si="11"/>
        <v>0.20715</v>
      </c>
      <c r="M96" s="163">
        <f t="shared" ca="1" si="12"/>
        <v>0.20715</v>
      </c>
      <c r="N96" s="205">
        <f t="shared" ca="1" si="13"/>
        <v>0.20715</v>
      </c>
      <c r="O96" s="164"/>
      <c r="P96" s="165"/>
      <c r="Q96" s="165"/>
    </row>
    <row r="97" spans="1:17" x14ac:dyDescent="0.2">
      <c r="A97" s="63">
        <v>53</v>
      </c>
      <c r="B97" s="13"/>
      <c r="C97" s="15" t="str">
        <f t="shared" si="9"/>
        <v/>
      </c>
      <c r="D97" s="18">
        <v>0</v>
      </c>
      <c r="E97" s="27"/>
      <c r="F97" s="24"/>
      <c r="G97" s="64" t="str">
        <f t="shared" si="4"/>
        <v/>
      </c>
      <c r="H97" s="24"/>
      <c r="I97" s="24"/>
      <c r="J97" s="24"/>
      <c r="K97" s="203">
        <f t="shared" ca="1" si="10"/>
        <v>0.20715</v>
      </c>
      <c r="L97" s="163">
        <f t="shared" ca="1" si="11"/>
        <v>0.20715</v>
      </c>
      <c r="M97" s="163">
        <f t="shared" ca="1" si="12"/>
        <v>0.20715</v>
      </c>
      <c r="N97" s="205">
        <f t="shared" ca="1" si="13"/>
        <v>0.20715</v>
      </c>
      <c r="O97" s="164"/>
      <c r="P97" s="165"/>
      <c r="Q97" s="165"/>
    </row>
    <row r="98" spans="1:17" x14ac:dyDescent="0.2">
      <c r="A98" s="63">
        <v>54</v>
      </c>
      <c r="B98" s="13"/>
      <c r="C98" s="15" t="str">
        <f t="shared" si="9"/>
        <v/>
      </c>
      <c r="D98" s="18">
        <v>0</v>
      </c>
      <c r="E98" s="27"/>
      <c r="F98" s="24"/>
      <c r="G98" s="64" t="str">
        <f t="shared" si="4"/>
        <v/>
      </c>
      <c r="H98" s="24"/>
      <c r="I98" s="24"/>
      <c r="J98" s="24"/>
      <c r="K98" s="203">
        <f t="shared" ca="1" si="10"/>
        <v>0.20715</v>
      </c>
      <c r="L98" s="163">
        <f t="shared" ca="1" si="11"/>
        <v>0.20715</v>
      </c>
      <c r="M98" s="163">
        <f t="shared" ca="1" si="12"/>
        <v>0.20715</v>
      </c>
      <c r="N98" s="205">
        <f t="shared" ca="1" si="13"/>
        <v>0.20715</v>
      </c>
      <c r="O98" s="164"/>
      <c r="P98" s="165"/>
      <c r="Q98" s="165"/>
    </row>
    <row r="99" spans="1:17" x14ac:dyDescent="0.2">
      <c r="A99" s="63">
        <v>55</v>
      </c>
      <c r="B99" s="13"/>
      <c r="C99" s="15" t="str">
        <f t="shared" si="9"/>
        <v/>
      </c>
      <c r="D99" s="18">
        <v>0</v>
      </c>
      <c r="E99" s="27"/>
      <c r="F99" s="24"/>
      <c r="G99" s="64" t="str">
        <f t="shared" si="4"/>
        <v/>
      </c>
      <c r="H99" s="24"/>
      <c r="I99" s="24"/>
      <c r="J99" s="24"/>
      <c r="K99" s="203">
        <f t="shared" ca="1" si="10"/>
        <v>0.20715</v>
      </c>
      <c r="L99" s="163">
        <f t="shared" ca="1" si="11"/>
        <v>0.20715</v>
      </c>
      <c r="M99" s="163">
        <f t="shared" ca="1" si="12"/>
        <v>0.20715</v>
      </c>
      <c r="N99" s="205">
        <f t="shared" ca="1" si="13"/>
        <v>0.20715</v>
      </c>
      <c r="O99" s="164"/>
      <c r="P99" s="165"/>
      <c r="Q99" s="165"/>
    </row>
    <row r="100" spans="1:17" x14ac:dyDescent="0.2">
      <c r="A100" s="63">
        <v>56</v>
      </c>
      <c r="B100" s="13"/>
      <c r="C100" s="15" t="str">
        <f t="shared" si="9"/>
        <v/>
      </c>
      <c r="D100" s="18">
        <v>0</v>
      </c>
      <c r="E100" s="27"/>
      <c r="F100" s="24"/>
      <c r="G100" s="64" t="str">
        <f t="shared" si="4"/>
        <v/>
      </c>
      <c r="H100" s="24"/>
      <c r="I100" s="24"/>
      <c r="J100" s="24"/>
      <c r="K100" s="203">
        <f t="shared" ca="1" si="10"/>
        <v>0.20715</v>
      </c>
      <c r="L100" s="163">
        <f t="shared" ca="1" si="11"/>
        <v>0.20715</v>
      </c>
      <c r="M100" s="163">
        <f t="shared" ca="1" si="12"/>
        <v>0.20715</v>
      </c>
      <c r="N100" s="205">
        <f t="shared" ca="1" si="13"/>
        <v>0.20715</v>
      </c>
      <c r="O100" s="164"/>
      <c r="P100" s="165"/>
      <c r="Q100" s="165"/>
    </row>
    <row r="101" spans="1:17" x14ac:dyDescent="0.2">
      <c r="A101" s="63">
        <v>57</v>
      </c>
      <c r="B101" s="13"/>
      <c r="C101" s="15" t="str">
        <f t="shared" si="9"/>
        <v/>
      </c>
      <c r="D101" s="18">
        <v>0</v>
      </c>
      <c r="E101" s="27"/>
      <c r="F101" s="24"/>
      <c r="G101" s="64" t="str">
        <f t="shared" si="4"/>
        <v/>
      </c>
      <c r="H101" s="24"/>
      <c r="I101" s="24"/>
      <c r="J101" s="24"/>
      <c r="K101" s="203">
        <f t="shared" ca="1" si="10"/>
        <v>0.20715</v>
      </c>
      <c r="L101" s="163">
        <f t="shared" ca="1" si="11"/>
        <v>0.20715</v>
      </c>
      <c r="M101" s="163">
        <f t="shared" ca="1" si="12"/>
        <v>0.20715</v>
      </c>
      <c r="N101" s="205">
        <f t="shared" ca="1" si="13"/>
        <v>0.20715</v>
      </c>
      <c r="O101" s="164"/>
      <c r="P101" s="165"/>
      <c r="Q101" s="165"/>
    </row>
    <row r="102" spans="1:17" x14ac:dyDescent="0.2">
      <c r="A102" s="63">
        <v>58</v>
      </c>
      <c r="B102" s="13"/>
      <c r="C102" s="15" t="str">
        <f t="shared" si="9"/>
        <v/>
      </c>
      <c r="D102" s="18">
        <v>0</v>
      </c>
      <c r="E102" s="27"/>
      <c r="F102" s="24"/>
      <c r="G102" s="64" t="str">
        <f t="shared" si="4"/>
        <v/>
      </c>
      <c r="H102" s="24"/>
      <c r="I102" s="24"/>
      <c r="J102" s="24"/>
      <c r="K102" s="203">
        <f t="shared" ca="1" si="10"/>
        <v>0.20715</v>
      </c>
      <c r="L102" s="163">
        <f t="shared" ca="1" si="11"/>
        <v>0.20715</v>
      </c>
      <c r="M102" s="163">
        <f t="shared" ca="1" si="12"/>
        <v>0.20715</v>
      </c>
      <c r="N102" s="205">
        <f t="shared" ca="1" si="13"/>
        <v>0.20715</v>
      </c>
      <c r="O102" s="164"/>
      <c r="P102" s="165"/>
      <c r="Q102" s="165"/>
    </row>
    <row r="103" spans="1:17" x14ac:dyDescent="0.2">
      <c r="A103" s="63">
        <v>59</v>
      </c>
      <c r="B103" s="13"/>
      <c r="C103" s="15" t="str">
        <f t="shared" si="9"/>
        <v/>
      </c>
      <c r="D103" s="18">
        <v>0</v>
      </c>
      <c r="E103" s="27"/>
      <c r="F103" s="24"/>
      <c r="G103" s="64" t="str">
        <f t="shared" si="4"/>
        <v/>
      </c>
      <c r="H103" s="24"/>
      <c r="I103" s="24"/>
      <c r="J103" s="24"/>
      <c r="K103" s="203">
        <f t="shared" ca="1" si="10"/>
        <v>0.20715</v>
      </c>
      <c r="L103" s="163">
        <f t="shared" ca="1" si="11"/>
        <v>0.20715</v>
      </c>
      <c r="M103" s="163">
        <f t="shared" ca="1" si="12"/>
        <v>0.20715</v>
      </c>
      <c r="N103" s="205">
        <f t="shared" ca="1" si="13"/>
        <v>0.20715</v>
      </c>
      <c r="O103" s="164"/>
      <c r="P103" s="165"/>
      <c r="Q103" s="165"/>
    </row>
    <row r="104" spans="1:17" x14ac:dyDescent="0.2">
      <c r="A104" s="63">
        <v>60</v>
      </c>
      <c r="B104" s="13"/>
      <c r="C104" s="15" t="str">
        <f t="shared" si="9"/>
        <v/>
      </c>
      <c r="D104" s="18">
        <v>0</v>
      </c>
      <c r="E104" s="27"/>
      <c r="F104" s="24"/>
      <c r="G104" s="64" t="str">
        <f t="shared" si="4"/>
        <v/>
      </c>
      <c r="H104" s="24"/>
      <c r="I104" s="24"/>
      <c r="J104" s="24"/>
      <c r="K104" s="203">
        <f t="shared" ca="1" si="10"/>
        <v>0.20715</v>
      </c>
      <c r="L104" s="163">
        <f t="shared" ca="1" si="11"/>
        <v>0.20715</v>
      </c>
      <c r="M104" s="163">
        <f t="shared" ca="1" si="12"/>
        <v>0.20715</v>
      </c>
      <c r="N104" s="205">
        <f t="shared" ca="1" si="13"/>
        <v>0.20715</v>
      </c>
      <c r="O104" s="164"/>
      <c r="P104" s="165"/>
      <c r="Q104" s="165"/>
    </row>
    <row r="105" spans="1:17" x14ac:dyDescent="0.2">
      <c r="A105" s="63">
        <v>61</v>
      </c>
      <c r="B105" s="13"/>
      <c r="C105" s="15" t="str">
        <f t="shared" si="9"/>
        <v/>
      </c>
      <c r="D105" s="18">
        <v>0</v>
      </c>
      <c r="E105" s="27"/>
      <c r="F105" s="24"/>
      <c r="G105" s="64" t="str">
        <f t="shared" si="4"/>
        <v/>
      </c>
      <c r="H105" s="24"/>
      <c r="I105" s="24"/>
      <c r="J105" s="24"/>
      <c r="K105" s="203">
        <f t="shared" ca="1" si="10"/>
        <v>0.20715</v>
      </c>
      <c r="L105" s="163">
        <f t="shared" ca="1" si="11"/>
        <v>0.20715</v>
      </c>
      <c r="M105" s="163">
        <f t="shared" ca="1" si="12"/>
        <v>0.20715</v>
      </c>
      <c r="N105" s="205">
        <f t="shared" ca="1" si="13"/>
        <v>0.20715</v>
      </c>
      <c r="O105" s="164"/>
      <c r="P105" s="165"/>
      <c r="Q105" s="165"/>
    </row>
    <row r="106" spans="1:17" x14ac:dyDescent="0.2">
      <c r="A106" s="63">
        <v>62</v>
      </c>
      <c r="B106" s="13"/>
      <c r="C106" s="15" t="str">
        <f t="shared" si="9"/>
        <v/>
      </c>
      <c r="D106" s="18">
        <v>0</v>
      </c>
      <c r="E106" s="27"/>
      <c r="F106" s="24"/>
      <c r="G106" s="64" t="str">
        <f t="shared" si="4"/>
        <v/>
      </c>
      <c r="H106" s="24"/>
      <c r="I106" s="24"/>
      <c r="J106" s="24"/>
      <c r="K106" s="203">
        <f t="shared" ca="1" si="10"/>
        <v>0.20715</v>
      </c>
      <c r="L106" s="163">
        <f t="shared" ca="1" si="11"/>
        <v>0.20715</v>
      </c>
      <c r="M106" s="163">
        <f t="shared" ca="1" si="12"/>
        <v>0.20715</v>
      </c>
      <c r="N106" s="205">
        <f t="shared" ca="1" si="13"/>
        <v>0.20715</v>
      </c>
      <c r="O106" s="164"/>
      <c r="P106" s="165"/>
      <c r="Q106" s="165"/>
    </row>
    <row r="107" spans="1:17" x14ac:dyDescent="0.2">
      <c r="A107" s="63">
        <v>63</v>
      </c>
      <c r="B107" s="13"/>
      <c r="C107" s="15" t="str">
        <f t="shared" si="9"/>
        <v/>
      </c>
      <c r="D107" s="18">
        <v>0</v>
      </c>
      <c r="E107" s="27"/>
      <c r="F107" s="24"/>
      <c r="G107" s="64" t="str">
        <f t="shared" si="4"/>
        <v/>
      </c>
      <c r="H107" s="24"/>
      <c r="I107" s="24"/>
      <c r="J107" s="24"/>
      <c r="K107" s="203">
        <f t="shared" ca="1" si="10"/>
        <v>0.20715</v>
      </c>
      <c r="L107" s="163">
        <f t="shared" ca="1" si="11"/>
        <v>0.20715</v>
      </c>
      <c r="M107" s="163">
        <f t="shared" ca="1" si="12"/>
        <v>0.20715</v>
      </c>
      <c r="N107" s="205">
        <f t="shared" ca="1" si="13"/>
        <v>0.20715</v>
      </c>
      <c r="O107" s="164"/>
      <c r="P107" s="165"/>
      <c r="Q107" s="165"/>
    </row>
    <row r="108" spans="1:17" x14ac:dyDescent="0.2">
      <c r="A108" s="63">
        <v>64</v>
      </c>
      <c r="B108" s="13"/>
      <c r="C108" s="15" t="str">
        <f t="shared" si="9"/>
        <v/>
      </c>
      <c r="D108" s="18">
        <v>0</v>
      </c>
      <c r="E108" s="27"/>
      <c r="F108" s="24"/>
      <c r="G108" s="64" t="str">
        <f t="shared" si="4"/>
        <v/>
      </c>
      <c r="H108" s="24"/>
      <c r="I108" s="24"/>
      <c r="J108" s="24"/>
      <c r="K108" s="203">
        <f t="shared" ca="1" si="10"/>
        <v>0.20715</v>
      </c>
      <c r="L108" s="163">
        <f t="shared" ca="1" si="11"/>
        <v>0.20715</v>
      </c>
      <c r="M108" s="163">
        <f t="shared" ca="1" si="12"/>
        <v>0.20715</v>
      </c>
      <c r="N108" s="205">
        <f t="shared" ca="1" si="13"/>
        <v>0.20715</v>
      </c>
      <c r="O108" s="164"/>
      <c r="P108" s="165"/>
      <c r="Q108" s="165"/>
    </row>
    <row r="109" spans="1:17" x14ac:dyDescent="0.2">
      <c r="A109" s="63">
        <v>65</v>
      </c>
      <c r="B109" s="13"/>
      <c r="C109" s="15" t="str">
        <f t="shared" si="9"/>
        <v/>
      </c>
      <c r="D109" s="18">
        <v>0</v>
      </c>
      <c r="E109" s="27"/>
      <c r="F109" s="24"/>
      <c r="G109" s="64" t="str">
        <f t="shared" si="4"/>
        <v/>
      </c>
      <c r="H109" s="24"/>
      <c r="I109" s="24"/>
      <c r="J109" s="24"/>
      <c r="K109" s="203">
        <f t="shared" ca="1" si="10"/>
        <v>0.20715</v>
      </c>
      <c r="L109" s="163">
        <f t="shared" ca="1" si="11"/>
        <v>0.20715</v>
      </c>
      <c r="M109" s="163">
        <f t="shared" ca="1" si="12"/>
        <v>0.20715</v>
      </c>
      <c r="N109" s="205">
        <f t="shared" ca="1" si="13"/>
        <v>0.20715</v>
      </c>
      <c r="O109" s="164"/>
      <c r="P109" s="165"/>
      <c r="Q109" s="165"/>
    </row>
    <row r="110" spans="1:17" x14ac:dyDescent="0.2">
      <c r="A110" s="63">
        <v>66</v>
      </c>
      <c r="B110" s="13"/>
      <c r="C110" s="15" t="str">
        <f t="shared" si="9"/>
        <v/>
      </c>
      <c r="D110" s="18">
        <v>0</v>
      </c>
      <c r="E110" s="27"/>
      <c r="F110" s="24"/>
      <c r="G110" s="64" t="str">
        <f t="shared" si="4"/>
        <v/>
      </c>
      <c r="H110" s="24"/>
      <c r="I110" s="24"/>
      <c r="J110" s="24"/>
      <c r="K110" s="203">
        <f t="shared" ca="1" si="10"/>
        <v>0.20715</v>
      </c>
      <c r="L110" s="163">
        <f t="shared" ca="1" si="11"/>
        <v>0.20715</v>
      </c>
      <c r="M110" s="163">
        <f t="shared" ca="1" si="12"/>
        <v>0.20715</v>
      </c>
      <c r="N110" s="205">
        <f t="shared" ca="1" si="13"/>
        <v>0.20715</v>
      </c>
      <c r="O110" s="164"/>
      <c r="P110" s="165"/>
      <c r="Q110" s="165"/>
    </row>
    <row r="111" spans="1:17" x14ac:dyDescent="0.2">
      <c r="A111" s="63">
        <v>67</v>
      </c>
      <c r="B111" s="13"/>
      <c r="C111" s="15" t="str">
        <f t="shared" si="9"/>
        <v/>
      </c>
      <c r="D111" s="18">
        <v>0</v>
      </c>
      <c r="E111" s="27"/>
      <c r="F111" s="24"/>
      <c r="G111" s="64" t="str">
        <f t="shared" si="4"/>
        <v/>
      </c>
      <c r="H111" s="24"/>
      <c r="I111" s="24"/>
      <c r="J111" s="24"/>
      <c r="K111" s="203">
        <f t="shared" ca="1" si="10"/>
        <v>0.20715</v>
      </c>
      <c r="L111" s="163">
        <f t="shared" ca="1" si="11"/>
        <v>0.20715</v>
      </c>
      <c r="M111" s="163">
        <f t="shared" ca="1" si="12"/>
        <v>0.20715</v>
      </c>
      <c r="N111" s="205">
        <f t="shared" ca="1" si="13"/>
        <v>0.20715</v>
      </c>
      <c r="O111" s="164"/>
      <c r="P111" s="165"/>
      <c r="Q111" s="165"/>
    </row>
    <row r="112" spans="1:17" x14ac:dyDescent="0.2">
      <c r="A112" s="63">
        <v>68</v>
      </c>
      <c r="B112" s="13"/>
      <c r="C112" s="15" t="str">
        <f t="shared" si="9"/>
        <v/>
      </c>
      <c r="D112" s="18">
        <v>0</v>
      </c>
      <c r="E112" s="27"/>
      <c r="F112" s="24"/>
      <c r="G112" s="64" t="str">
        <f t="shared" si="4"/>
        <v/>
      </c>
      <c r="H112" s="24"/>
      <c r="I112" s="24"/>
      <c r="J112" s="24"/>
      <c r="K112" s="203">
        <f t="shared" ca="1" si="10"/>
        <v>0.20715</v>
      </c>
      <c r="L112" s="163">
        <f t="shared" ca="1" si="11"/>
        <v>0.20715</v>
      </c>
      <c r="M112" s="163">
        <f t="shared" ca="1" si="12"/>
        <v>0.20715</v>
      </c>
      <c r="N112" s="205">
        <f t="shared" ca="1" si="13"/>
        <v>0.20715</v>
      </c>
      <c r="O112" s="164"/>
      <c r="P112" s="165"/>
      <c r="Q112" s="165"/>
    </row>
    <row r="113" spans="1:17" x14ac:dyDescent="0.2">
      <c r="A113" s="63">
        <v>69</v>
      </c>
      <c r="B113" s="13"/>
      <c r="C113" s="15" t="str">
        <f t="shared" si="9"/>
        <v/>
      </c>
      <c r="D113" s="18">
        <v>0</v>
      </c>
      <c r="E113" s="27"/>
      <c r="F113" s="24"/>
      <c r="G113" s="64" t="str">
        <f t="shared" si="4"/>
        <v/>
      </c>
      <c r="H113" s="24"/>
      <c r="I113" s="24"/>
      <c r="J113" s="24"/>
      <c r="K113" s="203">
        <f t="shared" ca="1" si="10"/>
        <v>0.20715</v>
      </c>
      <c r="L113" s="163">
        <f t="shared" ca="1" si="11"/>
        <v>0.20715</v>
      </c>
      <c r="M113" s="163">
        <f t="shared" ca="1" si="12"/>
        <v>0.20715</v>
      </c>
      <c r="N113" s="205">
        <f t="shared" ca="1" si="13"/>
        <v>0.20715</v>
      </c>
      <c r="O113" s="164"/>
      <c r="P113" s="165"/>
      <c r="Q113" s="165"/>
    </row>
    <row r="114" spans="1:17" x14ac:dyDescent="0.2">
      <c r="A114" s="63">
        <v>70</v>
      </c>
      <c r="B114" s="13"/>
      <c r="C114" s="15" t="str">
        <f t="shared" si="9"/>
        <v/>
      </c>
      <c r="D114" s="18">
        <v>0</v>
      </c>
      <c r="E114" s="27"/>
      <c r="F114" s="24"/>
      <c r="G114" s="64" t="str">
        <f t="shared" si="4"/>
        <v/>
      </c>
      <c r="H114" s="24"/>
      <c r="I114" s="24"/>
      <c r="J114" s="24"/>
      <c r="K114" s="203">
        <f t="shared" ca="1" si="10"/>
        <v>0.20715</v>
      </c>
      <c r="L114" s="163">
        <f t="shared" ca="1" si="11"/>
        <v>0.20715</v>
      </c>
      <c r="M114" s="163">
        <f t="shared" ca="1" si="12"/>
        <v>0.20715</v>
      </c>
      <c r="N114" s="205">
        <f t="shared" ca="1" si="13"/>
        <v>0.20715</v>
      </c>
      <c r="O114" s="164"/>
      <c r="P114" s="165"/>
      <c r="Q114" s="165"/>
    </row>
    <row r="115" spans="1:17" x14ac:dyDescent="0.2">
      <c r="A115" s="63">
        <v>71</v>
      </c>
      <c r="B115" s="13"/>
      <c r="C115" s="15" t="str">
        <f t="shared" si="9"/>
        <v/>
      </c>
      <c r="D115" s="18">
        <v>0</v>
      </c>
      <c r="E115" s="27"/>
      <c r="F115" s="24"/>
      <c r="G115" s="64" t="str">
        <f t="shared" si="4"/>
        <v/>
      </c>
      <c r="H115" s="24"/>
      <c r="I115" s="24"/>
      <c r="J115" s="24"/>
      <c r="K115" s="203">
        <f t="shared" ca="1" si="10"/>
        <v>0.20715</v>
      </c>
      <c r="L115" s="163">
        <f t="shared" ca="1" si="11"/>
        <v>0.20715</v>
      </c>
      <c r="M115" s="163">
        <f t="shared" ca="1" si="12"/>
        <v>0.20715</v>
      </c>
      <c r="N115" s="205">
        <f t="shared" ca="1" si="13"/>
        <v>0.20715</v>
      </c>
      <c r="O115" s="164"/>
      <c r="P115" s="165"/>
      <c r="Q115" s="165"/>
    </row>
    <row r="116" spans="1:17" x14ac:dyDescent="0.2">
      <c r="A116" s="63">
        <v>72</v>
      </c>
      <c r="B116" s="13"/>
      <c r="C116" s="15" t="str">
        <f t="shared" si="9"/>
        <v/>
      </c>
      <c r="D116" s="18">
        <v>0</v>
      </c>
      <c r="E116" s="27"/>
      <c r="F116" s="24"/>
      <c r="G116" s="64" t="str">
        <f t="shared" si="4"/>
        <v/>
      </c>
      <c r="H116" s="24"/>
      <c r="I116" s="24"/>
      <c r="J116" s="24"/>
      <c r="K116" s="203">
        <f t="shared" ca="1" si="10"/>
        <v>0.20715</v>
      </c>
      <c r="L116" s="163">
        <f t="shared" ca="1" si="11"/>
        <v>0.20715</v>
      </c>
      <c r="M116" s="163">
        <f t="shared" ca="1" si="12"/>
        <v>0.20715</v>
      </c>
      <c r="N116" s="205">
        <f t="shared" ca="1" si="13"/>
        <v>0.20715</v>
      </c>
      <c r="O116" s="164"/>
      <c r="P116" s="165"/>
      <c r="Q116" s="165"/>
    </row>
    <row r="117" spans="1:17" x14ac:dyDescent="0.2">
      <c r="A117" s="63">
        <v>73</v>
      </c>
      <c r="B117" s="13"/>
      <c r="C117" s="15" t="str">
        <f t="shared" si="9"/>
        <v/>
      </c>
      <c r="D117" s="18">
        <v>0</v>
      </c>
      <c r="E117" s="27"/>
      <c r="F117" s="24"/>
      <c r="G117" s="64" t="str">
        <f t="shared" si="4"/>
        <v/>
      </c>
      <c r="H117" s="24"/>
      <c r="I117" s="24"/>
      <c r="J117" s="24"/>
      <c r="K117" s="203">
        <f t="shared" ca="1" si="10"/>
        <v>0.20715</v>
      </c>
      <c r="L117" s="163">
        <f t="shared" ca="1" si="11"/>
        <v>0.20715</v>
      </c>
      <c r="M117" s="163">
        <f t="shared" ca="1" si="12"/>
        <v>0.20715</v>
      </c>
      <c r="N117" s="205">
        <f t="shared" ca="1" si="13"/>
        <v>0.20715</v>
      </c>
      <c r="O117" s="164"/>
      <c r="P117" s="165"/>
      <c r="Q117" s="165"/>
    </row>
    <row r="118" spans="1:17" x14ac:dyDescent="0.2">
      <c r="A118" s="63">
        <v>74</v>
      </c>
      <c r="B118" s="13"/>
      <c r="C118" s="15" t="str">
        <f t="shared" si="9"/>
        <v/>
      </c>
      <c r="D118" s="18">
        <v>0</v>
      </c>
      <c r="E118" s="27"/>
      <c r="F118" s="24"/>
      <c r="G118" s="64" t="str">
        <f t="shared" si="4"/>
        <v/>
      </c>
      <c r="H118" s="24"/>
      <c r="I118" s="24"/>
      <c r="J118" s="24"/>
      <c r="K118" s="203">
        <f t="shared" ca="1" si="10"/>
        <v>0.20715</v>
      </c>
      <c r="L118" s="163">
        <f t="shared" ca="1" si="11"/>
        <v>0.20715</v>
      </c>
      <c r="M118" s="163">
        <f t="shared" ca="1" si="12"/>
        <v>0.20715</v>
      </c>
      <c r="N118" s="205">
        <f t="shared" ca="1" si="13"/>
        <v>0.20715</v>
      </c>
      <c r="O118" s="164"/>
      <c r="P118" s="165"/>
      <c r="Q118" s="165"/>
    </row>
    <row r="119" spans="1:17" x14ac:dyDescent="0.2">
      <c r="A119" s="63">
        <v>75</v>
      </c>
      <c r="B119" s="13"/>
      <c r="C119" s="15" t="str">
        <f t="shared" si="9"/>
        <v/>
      </c>
      <c r="D119" s="18">
        <v>0</v>
      </c>
      <c r="E119" s="27"/>
      <c r="F119" s="24"/>
      <c r="G119" s="64" t="str">
        <f t="shared" si="4"/>
        <v/>
      </c>
      <c r="H119" s="24"/>
      <c r="I119" s="24"/>
      <c r="J119" s="24"/>
      <c r="K119" s="203">
        <f t="shared" ca="1" si="10"/>
        <v>0.20715</v>
      </c>
      <c r="L119" s="163">
        <f t="shared" ca="1" si="11"/>
        <v>0.20715</v>
      </c>
      <c r="M119" s="163">
        <f t="shared" ca="1" si="12"/>
        <v>0.20715</v>
      </c>
      <c r="N119" s="205">
        <f t="shared" ca="1" si="13"/>
        <v>0.20715</v>
      </c>
      <c r="O119" s="164"/>
      <c r="P119" s="165"/>
      <c r="Q119" s="165"/>
    </row>
    <row r="120" spans="1:17" x14ac:dyDescent="0.2">
      <c r="A120" s="63">
        <v>76</v>
      </c>
      <c r="B120" s="13"/>
      <c r="C120" s="15" t="str">
        <f t="shared" si="9"/>
        <v/>
      </c>
      <c r="D120" s="18">
        <v>0</v>
      </c>
      <c r="E120" s="27"/>
      <c r="F120" s="24"/>
      <c r="G120" s="64" t="str">
        <f t="shared" si="4"/>
        <v/>
      </c>
      <c r="H120" s="24"/>
      <c r="I120" s="24"/>
      <c r="J120" s="24"/>
      <c r="K120" s="203">
        <f t="shared" ca="1" si="10"/>
        <v>0.20715</v>
      </c>
      <c r="L120" s="163">
        <f t="shared" ca="1" si="11"/>
        <v>0.20715</v>
      </c>
      <c r="M120" s="163">
        <f t="shared" ca="1" si="12"/>
        <v>0.20715</v>
      </c>
      <c r="N120" s="205">
        <f t="shared" ca="1" si="13"/>
        <v>0.20715</v>
      </c>
      <c r="O120" s="164"/>
      <c r="P120" s="165"/>
      <c r="Q120" s="165"/>
    </row>
    <row r="121" spans="1:17" x14ac:dyDescent="0.2">
      <c r="A121" s="63">
        <v>77</v>
      </c>
      <c r="B121" s="13"/>
      <c r="C121" s="15" t="str">
        <f t="shared" si="9"/>
        <v/>
      </c>
      <c r="D121" s="18">
        <v>0</v>
      </c>
      <c r="E121" s="27"/>
      <c r="F121" s="24"/>
      <c r="G121" s="64" t="str">
        <f t="shared" si="4"/>
        <v/>
      </c>
      <c r="H121" s="24"/>
      <c r="I121" s="24"/>
      <c r="J121" s="24"/>
      <c r="K121" s="203">
        <f t="shared" ca="1" si="10"/>
        <v>0.20715</v>
      </c>
      <c r="L121" s="163">
        <f t="shared" ca="1" si="11"/>
        <v>0.20715</v>
      </c>
      <c r="M121" s="163">
        <f t="shared" ca="1" si="12"/>
        <v>0.20715</v>
      </c>
      <c r="N121" s="205">
        <f t="shared" ca="1" si="13"/>
        <v>0.20715</v>
      </c>
      <c r="O121" s="164"/>
      <c r="P121" s="165"/>
      <c r="Q121" s="165"/>
    </row>
    <row r="122" spans="1:17" x14ac:dyDescent="0.2">
      <c r="A122" s="63">
        <v>78</v>
      </c>
      <c r="B122" s="13"/>
      <c r="C122" s="15" t="str">
        <f t="shared" si="9"/>
        <v/>
      </c>
      <c r="D122" s="18">
        <v>0</v>
      </c>
      <c r="E122" s="27"/>
      <c r="F122" s="24"/>
      <c r="G122" s="64" t="str">
        <f t="shared" si="4"/>
        <v/>
      </c>
      <c r="H122" s="24"/>
      <c r="I122" s="24"/>
      <c r="J122" s="24"/>
      <c r="K122" s="203">
        <f t="shared" ca="1" si="10"/>
        <v>0.20715</v>
      </c>
      <c r="L122" s="163">
        <f t="shared" ca="1" si="11"/>
        <v>0.20715</v>
      </c>
      <c r="M122" s="163">
        <f t="shared" ca="1" si="12"/>
        <v>0.20715</v>
      </c>
      <c r="N122" s="205">
        <f t="shared" ca="1" si="13"/>
        <v>0.20715</v>
      </c>
      <c r="O122" s="164"/>
      <c r="P122" s="165"/>
      <c r="Q122" s="165"/>
    </row>
    <row r="123" spans="1:17" x14ac:dyDescent="0.2">
      <c r="A123" s="63">
        <v>79</v>
      </c>
      <c r="B123" s="13"/>
      <c r="C123" s="15" t="str">
        <f t="shared" si="9"/>
        <v/>
      </c>
      <c r="D123" s="18">
        <v>0</v>
      </c>
      <c r="E123" s="27"/>
      <c r="F123" s="24"/>
      <c r="G123" s="64" t="str">
        <f t="shared" si="4"/>
        <v/>
      </c>
      <c r="H123" s="24"/>
      <c r="I123" s="24"/>
      <c r="J123" s="24"/>
      <c r="K123" s="203">
        <f t="shared" ca="1" si="10"/>
        <v>0.20715</v>
      </c>
      <c r="L123" s="163">
        <f t="shared" ca="1" si="11"/>
        <v>0.20715</v>
      </c>
      <c r="M123" s="163">
        <f t="shared" ca="1" si="12"/>
        <v>0.20715</v>
      </c>
      <c r="N123" s="205">
        <f t="shared" ca="1" si="13"/>
        <v>0.20715</v>
      </c>
      <c r="O123" s="164"/>
      <c r="P123" s="165"/>
      <c r="Q123" s="165"/>
    </row>
    <row r="124" spans="1:17" x14ac:dyDescent="0.2">
      <c r="A124" s="63">
        <v>80</v>
      </c>
      <c r="B124" s="13"/>
      <c r="C124" s="15" t="str">
        <f t="shared" si="9"/>
        <v/>
      </c>
      <c r="D124" s="18">
        <v>0</v>
      </c>
      <c r="E124" s="27"/>
      <c r="F124" s="24"/>
      <c r="G124" s="64" t="str">
        <f t="shared" si="4"/>
        <v/>
      </c>
      <c r="H124" s="24"/>
      <c r="I124" s="24"/>
      <c r="J124" s="24"/>
      <c r="K124" s="203">
        <f t="shared" ca="1" si="10"/>
        <v>0.20715</v>
      </c>
      <c r="L124" s="163">
        <f t="shared" ca="1" si="11"/>
        <v>0.20715</v>
      </c>
      <c r="M124" s="163">
        <f t="shared" ca="1" si="12"/>
        <v>0.20715</v>
      </c>
      <c r="N124" s="205">
        <f t="shared" ca="1" si="13"/>
        <v>0.20715</v>
      </c>
      <c r="O124" s="164"/>
      <c r="P124" s="165"/>
      <c r="Q124" s="165"/>
    </row>
    <row r="125" spans="1:17" x14ac:dyDescent="0.2">
      <c r="A125" s="63">
        <v>81</v>
      </c>
      <c r="B125" s="13"/>
      <c r="C125" s="15" t="str">
        <f t="shared" si="9"/>
        <v/>
      </c>
      <c r="D125" s="18">
        <v>0</v>
      </c>
      <c r="E125" s="27"/>
      <c r="F125" s="24"/>
      <c r="G125" s="64" t="str">
        <f t="shared" si="4"/>
        <v/>
      </c>
      <c r="H125" s="24"/>
      <c r="I125" s="24"/>
      <c r="J125" s="24"/>
      <c r="K125" s="203">
        <f t="shared" ca="1" si="10"/>
        <v>0.20715</v>
      </c>
      <c r="L125" s="163">
        <f t="shared" ca="1" si="11"/>
        <v>0.20715</v>
      </c>
      <c r="M125" s="163">
        <f t="shared" ca="1" si="12"/>
        <v>0.20715</v>
      </c>
      <c r="N125" s="205">
        <f t="shared" ca="1" si="13"/>
        <v>0.20715</v>
      </c>
      <c r="O125" s="164"/>
      <c r="P125" s="165"/>
      <c r="Q125" s="165"/>
    </row>
    <row r="126" spans="1:17" x14ac:dyDescent="0.2">
      <c r="A126" s="63">
        <v>82</v>
      </c>
      <c r="B126" s="13"/>
      <c r="C126" s="15" t="str">
        <f t="shared" si="9"/>
        <v/>
      </c>
      <c r="D126" s="18">
        <v>0</v>
      </c>
      <c r="E126" s="27"/>
      <c r="F126" s="24"/>
      <c r="G126" s="64" t="str">
        <f t="shared" si="4"/>
        <v/>
      </c>
      <c r="H126" s="24"/>
      <c r="I126" s="24"/>
      <c r="J126" s="24"/>
      <c r="K126" s="203">
        <f t="shared" ca="1" si="10"/>
        <v>0.20715</v>
      </c>
      <c r="L126" s="163">
        <f t="shared" ca="1" si="11"/>
        <v>0.20715</v>
      </c>
      <c r="M126" s="163">
        <f t="shared" ca="1" si="12"/>
        <v>0.20715</v>
      </c>
      <c r="N126" s="205">
        <f t="shared" ca="1" si="13"/>
        <v>0.20715</v>
      </c>
      <c r="O126" s="164"/>
      <c r="P126" s="165"/>
      <c r="Q126" s="165"/>
    </row>
    <row r="127" spans="1:17" x14ac:dyDescent="0.2">
      <c r="A127" s="63">
        <v>83</v>
      </c>
      <c r="B127" s="13"/>
      <c r="C127" s="15" t="str">
        <f t="shared" ref="C127:C144" si="14">IF(B127="","",K127)</f>
        <v/>
      </c>
      <c r="D127" s="18">
        <v>0</v>
      </c>
      <c r="E127" s="27"/>
      <c r="F127" s="24"/>
      <c r="G127" s="64" t="str">
        <f t="shared" si="4"/>
        <v/>
      </c>
      <c r="H127" s="24"/>
      <c r="I127" s="24"/>
      <c r="J127" s="24"/>
      <c r="K127" s="203">
        <f t="shared" ref="K127:K144" ca="1" si="15">ROUND(IF($E$17=2021,$P$45*1.05*1.05*1.05*1.05*1.05*1.05*1.05*1.05*1.05*1.05,IF($E$17=2020,$P$45*1.05*1.05*1.05*1.05*1.05*1.05*1.05*1.05*1.05,IF($E$17=2019,$P$45*1.05*1.05*1.05*1.05*1.05*1.05*1.05*1.05,IF($E$17=2018,$P$45*1.05*1.05*1.05*1.05*1.05*1.05*1.05,IF($E$17=2017,$P$45*1.05*1.05*1.05*1.05*1.05*1.05,IF($E$17=2016,$P$45*1.05*1.05*1.05*1.05*1.05,L127)))))),5)</f>
        <v>0.20715</v>
      </c>
      <c r="L127" s="163">
        <f t="shared" ref="L127:L144" ca="1" si="16">ROUND(IF($E$17=2015,$P$45*1.05*1.05*1.05*1.05,IF($E$17=2014,$P$45*1.05*1.05*1.05,IF($E$17=2013,$P$45*1.05*1.05,IF($E$17=2012,$P$45*1.05,IF($E$17=2011,$P$45,IF($E$17=2010,$P$46,IF($E$17=2009,$P$47,M127))))))),5)</f>
        <v>0.20715</v>
      </c>
      <c r="M127" s="163">
        <f t="shared" ref="M127:M144" ca="1" si="17">IF($E$17=2008,$P$48,IF($E$17=2007,$P$49,IF($E$17=2006,$P$50,IF($E$17=2005,$P$51,IF($E$17=2004,$P$52,IF($E$17=2003,$P$53,IF($E$17=2002,$P$54,N127)))))))</f>
        <v>0.20715</v>
      </c>
      <c r="N127" s="205">
        <f t="shared" ref="N127:N144" ca="1" si="18">IF($E$17=2001,$P$55,IF($E$17=2000,$P$56,IF($E$17=1999,$P$57,IF($E$17=1998,$P$58,K127))))</f>
        <v>0.20715</v>
      </c>
      <c r="O127" s="164"/>
      <c r="P127" s="165"/>
      <c r="Q127" s="165"/>
    </row>
    <row r="128" spans="1:17" x14ac:dyDescent="0.2">
      <c r="A128" s="63">
        <v>84</v>
      </c>
      <c r="B128" s="13"/>
      <c r="C128" s="15" t="str">
        <f t="shared" si="14"/>
        <v/>
      </c>
      <c r="D128" s="18">
        <v>0</v>
      </c>
      <c r="E128" s="27"/>
      <c r="F128" s="24"/>
      <c r="G128" s="64" t="str">
        <f t="shared" si="4"/>
        <v/>
      </c>
      <c r="H128" s="24"/>
      <c r="I128" s="24"/>
      <c r="J128" s="24"/>
      <c r="K128" s="203">
        <f t="shared" ca="1" si="15"/>
        <v>0.20715</v>
      </c>
      <c r="L128" s="163">
        <f t="shared" ca="1" si="16"/>
        <v>0.20715</v>
      </c>
      <c r="M128" s="163">
        <f t="shared" ca="1" si="17"/>
        <v>0.20715</v>
      </c>
      <c r="N128" s="205">
        <f t="shared" ca="1" si="18"/>
        <v>0.20715</v>
      </c>
      <c r="O128" s="164"/>
      <c r="P128" s="165"/>
      <c r="Q128" s="165"/>
    </row>
    <row r="129" spans="1:17" x14ac:dyDescent="0.2">
      <c r="A129" s="63">
        <v>85</v>
      </c>
      <c r="B129" s="13"/>
      <c r="C129" s="15" t="str">
        <f t="shared" si="14"/>
        <v/>
      </c>
      <c r="D129" s="18">
        <v>0</v>
      </c>
      <c r="E129" s="27"/>
      <c r="F129" s="24"/>
      <c r="G129" s="64" t="str">
        <f t="shared" si="4"/>
        <v/>
      </c>
      <c r="H129" s="24"/>
      <c r="I129" s="24"/>
      <c r="J129" s="24"/>
      <c r="K129" s="203">
        <f t="shared" ca="1" si="15"/>
        <v>0.20715</v>
      </c>
      <c r="L129" s="163">
        <f t="shared" ca="1" si="16"/>
        <v>0.20715</v>
      </c>
      <c r="M129" s="163">
        <f t="shared" ca="1" si="17"/>
        <v>0.20715</v>
      </c>
      <c r="N129" s="205">
        <f t="shared" ca="1" si="18"/>
        <v>0.20715</v>
      </c>
      <c r="O129" s="164"/>
      <c r="P129" s="165"/>
      <c r="Q129" s="165"/>
    </row>
    <row r="130" spans="1:17" x14ac:dyDescent="0.2">
      <c r="A130" s="63">
        <v>86</v>
      </c>
      <c r="B130" s="13"/>
      <c r="C130" s="15" t="str">
        <f t="shared" si="14"/>
        <v/>
      </c>
      <c r="D130" s="18">
        <v>0</v>
      </c>
      <c r="E130" s="27"/>
      <c r="F130" s="24"/>
      <c r="G130" s="64" t="str">
        <f t="shared" si="4"/>
        <v/>
      </c>
      <c r="H130" s="24"/>
      <c r="I130" s="24"/>
      <c r="J130" s="24"/>
      <c r="K130" s="203">
        <f t="shared" ca="1" si="15"/>
        <v>0.20715</v>
      </c>
      <c r="L130" s="163">
        <f t="shared" ca="1" si="16"/>
        <v>0.20715</v>
      </c>
      <c r="M130" s="163">
        <f t="shared" ca="1" si="17"/>
        <v>0.20715</v>
      </c>
      <c r="N130" s="205">
        <f t="shared" ca="1" si="18"/>
        <v>0.20715</v>
      </c>
      <c r="O130" s="164"/>
      <c r="P130" s="165"/>
      <c r="Q130" s="165"/>
    </row>
    <row r="131" spans="1:17" x14ac:dyDescent="0.2">
      <c r="A131" s="63">
        <v>87</v>
      </c>
      <c r="B131" s="13"/>
      <c r="C131" s="15" t="str">
        <f t="shared" si="14"/>
        <v/>
      </c>
      <c r="D131" s="18">
        <v>0</v>
      </c>
      <c r="E131" s="27"/>
      <c r="F131" s="24"/>
      <c r="G131" s="64" t="str">
        <f t="shared" si="4"/>
        <v/>
      </c>
      <c r="H131" s="24"/>
      <c r="I131" s="24"/>
      <c r="J131" s="24"/>
      <c r="K131" s="203">
        <f t="shared" ca="1" si="15"/>
        <v>0.20715</v>
      </c>
      <c r="L131" s="163">
        <f t="shared" ca="1" si="16"/>
        <v>0.20715</v>
      </c>
      <c r="M131" s="163">
        <f t="shared" ca="1" si="17"/>
        <v>0.20715</v>
      </c>
      <c r="N131" s="205">
        <f t="shared" ca="1" si="18"/>
        <v>0.20715</v>
      </c>
      <c r="O131" s="164"/>
      <c r="P131" s="165"/>
      <c r="Q131" s="165"/>
    </row>
    <row r="132" spans="1:17" x14ac:dyDescent="0.2">
      <c r="A132" s="63">
        <v>88</v>
      </c>
      <c r="B132" s="13"/>
      <c r="C132" s="15" t="str">
        <f t="shared" si="14"/>
        <v/>
      </c>
      <c r="D132" s="18">
        <v>0</v>
      </c>
      <c r="E132" s="27"/>
      <c r="F132" s="24"/>
      <c r="G132" s="64" t="str">
        <f t="shared" si="4"/>
        <v/>
      </c>
      <c r="H132" s="24"/>
      <c r="I132" s="24"/>
      <c r="J132" s="24"/>
      <c r="K132" s="203">
        <f t="shared" ca="1" si="15"/>
        <v>0.20715</v>
      </c>
      <c r="L132" s="163">
        <f t="shared" ca="1" si="16"/>
        <v>0.20715</v>
      </c>
      <c r="M132" s="163">
        <f t="shared" ca="1" si="17"/>
        <v>0.20715</v>
      </c>
      <c r="N132" s="205">
        <f t="shared" ca="1" si="18"/>
        <v>0.20715</v>
      </c>
      <c r="O132" s="164"/>
      <c r="P132" s="165"/>
      <c r="Q132" s="165"/>
    </row>
    <row r="133" spans="1:17" x14ac:dyDescent="0.2">
      <c r="A133" s="63">
        <v>89</v>
      </c>
      <c r="B133" s="13"/>
      <c r="C133" s="15" t="str">
        <f t="shared" si="14"/>
        <v/>
      </c>
      <c r="D133" s="18">
        <v>0</v>
      </c>
      <c r="E133" s="27"/>
      <c r="F133" s="24"/>
      <c r="G133" s="64" t="str">
        <f t="shared" si="4"/>
        <v/>
      </c>
      <c r="H133" s="24"/>
      <c r="I133" s="24"/>
      <c r="J133" s="24"/>
      <c r="K133" s="203">
        <f t="shared" ca="1" si="15"/>
        <v>0.20715</v>
      </c>
      <c r="L133" s="163">
        <f t="shared" ca="1" si="16"/>
        <v>0.20715</v>
      </c>
      <c r="M133" s="163">
        <f t="shared" ca="1" si="17"/>
        <v>0.20715</v>
      </c>
      <c r="N133" s="205">
        <f t="shared" ca="1" si="18"/>
        <v>0.20715</v>
      </c>
      <c r="O133" s="164"/>
      <c r="P133" s="165"/>
      <c r="Q133" s="165"/>
    </row>
    <row r="134" spans="1:17" x14ac:dyDescent="0.2">
      <c r="A134" s="63">
        <v>90</v>
      </c>
      <c r="B134" s="13"/>
      <c r="C134" s="15" t="str">
        <f t="shared" si="14"/>
        <v/>
      </c>
      <c r="D134" s="18">
        <v>0</v>
      </c>
      <c r="E134" s="27"/>
      <c r="F134" s="24"/>
      <c r="G134" s="64" t="str">
        <f t="shared" si="4"/>
        <v/>
      </c>
      <c r="H134" s="24"/>
      <c r="I134" s="24"/>
      <c r="J134" s="24"/>
      <c r="K134" s="203">
        <f t="shared" ca="1" si="15"/>
        <v>0.20715</v>
      </c>
      <c r="L134" s="163">
        <f t="shared" ca="1" si="16"/>
        <v>0.20715</v>
      </c>
      <c r="M134" s="163">
        <f t="shared" ca="1" si="17"/>
        <v>0.20715</v>
      </c>
      <c r="N134" s="205">
        <f t="shared" ca="1" si="18"/>
        <v>0.20715</v>
      </c>
      <c r="O134" s="164"/>
      <c r="P134" s="165"/>
      <c r="Q134" s="165"/>
    </row>
    <row r="135" spans="1:17" x14ac:dyDescent="0.2">
      <c r="A135" s="63">
        <v>91</v>
      </c>
      <c r="B135" s="13"/>
      <c r="C135" s="15" t="str">
        <f t="shared" si="14"/>
        <v/>
      </c>
      <c r="D135" s="18">
        <v>0</v>
      </c>
      <c r="E135" s="27"/>
      <c r="F135" s="24"/>
      <c r="G135" s="64" t="str">
        <f t="shared" si="4"/>
        <v/>
      </c>
      <c r="H135" s="24"/>
      <c r="I135" s="24"/>
      <c r="J135" s="24"/>
      <c r="K135" s="203">
        <f t="shared" ca="1" si="15"/>
        <v>0.20715</v>
      </c>
      <c r="L135" s="163">
        <f t="shared" ca="1" si="16"/>
        <v>0.20715</v>
      </c>
      <c r="M135" s="163">
        <f t="shared" ca="1" si="17"/>
        <v>0.20715</v>
      </c>
      <c r="N135" s="205">
        <f t="shared" ca="1" si="18"/>
        <v>0.20715</v>
      </c>
      <c r="O135" s="164"/>
      <c r="P135" s="165"/>
      <c r="Q135" s="165"/>
    </row>
    <row r="136" spans="1:17" x14ac:dyDescent="0.2">
      <c r="A136" s="63">
        <v>92</v>
      </c>
      <c r="B136" s="13"/>
      <c r="C136" s="15" t="str">
        <f t="shared" si="14"/>
        <v/>
      </c>
      <c r="D136" s="18">
        <v>0</v>
      </c>
      <c r="E136" s="27"/>
      <c r="F136" s="24"/>
      <c r="G136" s="64" t="str">
        <f t="shared" si="4"/>
        <v/>
      </c>
      <c r="H136" s="24"/>
      <c r="I136" s="24"/>
      <c r="J136" s="24"/>
      <c r="K136" s="203">
        <f t="shared" ca="1" si="15"/>
        <v>0.20715</v>
      </c>
      <c r="L136" s="163">
        <f t="shared" ca="1" si="16"/>
        <v>0.20715</v>
      </c>
      <c r="M136" s="163">
        <f t="shared" ca="1" si="17"/>
        <v>0.20715</v>
      </c>
      <c r="N136" s="205">
        <f t="shared" ca="1" si="18"/>
        <v>0.20715</v>
      </c>
      <c r="O136" s="164"/>
      <c r="P136" s="165"/>
      <c r="Q136" s="165"/>
    </row>
    <row r="137" spans="1:17" x14ac:dyDescent="0.2">
      <c r="A137" s="63">
        <v>93</v>
      </c>
      <c r="B137" s="13"/>
      <c r="C137" s="15" t="str">
        <f t="shared" si="14"/>
        <v/>
      </c>
      <c r="D137" s="18">
        <v>0</v>
      </c>
      <c r="E137" s="27"/>
      <c r="F137" s="24"/>
      <c r="G137" s="64" t="str">
        <f t="shared" si="4"/>
        <v/>
      </c>
      <c r="H137" s="24"/>
      <c r="I137" s="24"/>
      <c r="J137" s="24"/>
      <c r="K137" s="203">
        <f t="shared" ca="1" si="15"/>
        <v>0.20715</v>
      </c>
      <c r="L137" s="163">
        <f t="shared" ca="1" si="16"/>
        <v>0.20715</v>
      </c>
      <c r="M137" s="163">
        <f t="shared" ca="1" si="17"/>
        <v>0.20715</v>
      </c>
      <c r="N137" s="205">
        <f t="shared" ca="1" si="18"/>
        <v>0.20715</v>
      </c>
      <c r="O137" s="164"/>
      <c r="P137" s="165"/>
      <c r="Q137" s="165"/>
    </row>
    <row r="138" spans="1:17" x14ac:dyDescent="0.2">
      <c r="A138" s="63">
        <v>94</v>
      </c>
      <c r="B138" s="13"/>
      <c r="C138" s="15" t="str">
        <f t="shared" si="14"/>
        <v/>
      </c>
      <c r="D138" s="18">
        <v>0</v>
      </c>
      <c r="E138" s="27"/>
      <c r="F138" s="24"/>
      <c r="G138" s="64" t="str">
        <f t="shared" si="4"/>
        <v/>
      </c>
      <c r="H138" s="24"/>
      <c r="I138" s="24"/>
      <c r="J138" s="24"/>
      <c r="K138" s="203">
        <f t="shared" ca="1" si="15"/>
        <v>0.20715</v>
      </c>
      <c r="L138" s="163">
        <f t="shared" ca="1" si="16"/>
        <v>0.20715</v>
      </c>
      <c r="M138" s="163">
        <f t="shared" ca="1" si="17"/>
        <v>0.20715</v>
      </c>
      <c r="N138" s="205">
        <f t="shared" ca="1" si="18"/>
        <v>0.20715</v>
      </c>
      <c r="O138" s="164"/>
      <c r="P138" s="165"/>
      <c r="Q138" s="165"/>
    </row>
    <row r="139" spans="1:17" x14ac:dyDescent="0.2">
      <c r="A139" s="63">
        <v>95</v>
      </c>
      <c r="B139" s="13"/>
      <c r="C139" s="15" t="str">
        <f t="shared" si="14"/>
        <v/>
      </c>
      <c r="D139" s="18">
        <v>0</v>
      </c>
      <c r="E139" s="27"/>
      <c r="F139" s="24"/>
      <c r="G139" s="64" t="str">
        <f t="shared" si="4"/>
        <v/>
      </c>
      <c r="H139" s="24"/>
      <c r="I139" s="24"/>
      <c r="J139" s="24"/>
      <c r="K139" s="203">
        <f t="shared" ca="1" si="15"/>
        <v>0.20715</v>
      </c>
      <c r="L139" s="163">
        <f t="shared" ca="1" si="16"/>
        <v>0.20715</v>
      </c>
      <c r="M139" s="163">
        <f t="shared" ca="1" si="17"/>
        <v>0.20715</v>
      </c>
      <c r="N139" s="205">
        <f t="shared" ca="1" si="18"/>
        <v>0.20715</v>
      </c>
      <c r="O139" s="164"/>
      <c r="P139" s="165"/>
      <c r="Q139" s="165"/>
    </row>
    <row r="140" spans="1:17" x14ac:dyDescent="0.2">
      <c r="A140" s="63">
        <v>96</v>
      </c>
      <c r="B140" s="13"/>
      <c r="C140" s="15" t="str">
        <f t="shared" si="14"/>
        <v/>
      </c>
      <c r="D140" s="18">
        <v>0</v>
      </c>
      <c r="E140" s="27"/>
      <c r="F140" s="24"/>
      <c r="G140" s="64" t="str">
        <f t="shared" si="4"/>
        <v/>
      </c>
      <c r="H140" s="24"/>
      <c r="I140" s="24"/>
      <c r="J140" s="24"/>
      <c r="K140" s="203">
        <f t="shared" ca="1" si="15"/>
        <v>0.20715</v>
      </c>
      <c r="L140" s="163">
        <f t="shared" ca="1" si="16"/>
        <v>0.20715</v>
      </c>
      <c r="M140" s="163">
        <f t="shared" ca="1" si="17"/>
        <v>0.20715</v>
      </c>
      <c r="N140" s="205">
        <f t="shared" ca="1" si="18"/>
        <v>0.20715</v>
      </c>
      <c r="O140" s="164"/>
      <c r="P140" s="165"/>
      <c r="Q140" s="165"/>
    </row>
    <row r="141" spans="1:17" x14ac:dyDescent="0.2">
      <c r="A141" s="63">
        <v>97</v>
      </c>
      <c r="B141" s="13"/>
      <c r="C141" s="15" t="str">
        <f t="shared" si="14"/>
        <v/>
      </c>
      <c r="D141" s="18">
        <v>0</v>
      </c>
      <c r="E141" s="27"/>
      <c r="F141" s="24"/>
      <c r="G141" s="64" t="str">
        <f t="shared" si="4"/>
        <v/>
      </c>
      <c r="H141" s="24"/>
      <c r="I141" s="24"/>
      <c r="J141" s="24"/>
      <c r="K141" s="203">
        <f t="shared" ca="1" si="15"/>
        <v>0.20715</v>
      </c>
      <c r="L141" s="163">
        <f t="shared" ca="1" si="16"/>
        <v>0.20715</v>
      </c>
      <c r="M141" s="163">
        <f t="shared" ca="1" si="17"/>
        <v>0.20715</v>
      </c>
      <c r="N141" s="205">
        <f t="shared" ca="1" si="18"/>
        <v>0.20715</v>
      </c>
      <c r="O141" s="164"/>
      <c r="P141" s="165"/>
      <c r="Q141" s="165"/>
    </row>
    <row r="142" spans="1:17" x14ac:dyDescent="0.2">
      <c r="A142" s="63">
        <v>98</v>
      </c>
      <c r="B142" s="13"/>
      <c r="C142" s="15" t="str">
        <f t="shared" si="14"/>
        <v/>
      </c>
      <c r="D142" s="18">
        <v>0</v>
      </c>
      <c r="E142" s="27"/>
      <c r="F142" s="24"/>
      <c r="G142" s="64" t="str">
        <f t="shared" si="4"/>
        <v/>
      </c>
      <c r="H142" s="24"/>
      <c r="I142" s="24"/>
      <c r="J142" s="24"/>
      <c r="K142" s="203">
        <f t="shared" ca="1" si="15"/>
        <v>0.20715</v>
      </c>
      <c r="L142" s="163">
        <f t="shared" ca="1" si="16"/>
        <v>0.20715</v>
      </c>
      <c r="M142" s="163">
        <f t="shared" ca="1" si="17"/>
        <v>0.20715</v>
      </c>
      <c r="N142" s="205">
        <f t="shared" ca="1" si="18"/>
        <v>0.20715</v>
      </c>
      <c r="O142" s="164"/>
      <c r="P142" s="165"/>
      <c r="Q142" s="165"/>
    </row>
    <row r="143" spans="1:17" x14ac:dyDescent="0.2">
      <c r="A143" s="63">
        <v>99</v>
      </c>
      <c r="B143" s="13"/>
      <c r="C143" s="15" t="str">
        <f t="shared" si="14"/>
        <v/>
      </c>
      <c r="D143" s="18">
        <v>0</v>
      </c>
      <c r="E143" s="27"/>
      <c r="F143" s="24"/>
      <c r="G143" s="64" t="str">
        <f t="shared" si="4"/>
        <v/>
      </c>
      <c r="H143" s="24"/>
      <c r="I143" s="24"/>
      <c r="J143" s="24"/>
      <c r="K143" s="203">
        <f t="shared" ca="1" si="15"/>
        <v>0.20715</v>
      </c>
      <c r="L143" s="163">
        <f t="shared" ca="1" si="16"/>
        <v>0.20715</v>
      </c>
      <c r="M143" s="163">
        <f t="shared" ca="1" si="17"/>
        <v>0.20715</v>
      </c>
      <c r="N143" s="205">
        <f t="shared" ca="1" si="18"/>
        <v>0.20715</v>
      </c>
      <c r="O143" s="164"/>
      <c r="P143" s="165"/>
      <c r="Q143" s="165"/>
    </row>
    <row r="144" spans="1:17" x14ac:dyDescent="0.2">
      <c r="A144" s="63">
        <v>100</v>
      </c>
      <c r="B144" s="13"/>
      <c r="C144" s="15" t="str">
        <f t="shared" si="14"/>
        <v/>
      </c>
      <c r="D144" s="18">
        <v>0</v>
      </c>
      <c r="E144" s="27"/>
      <c r="F144" s="24"/>
      <c r="G144" s="64" t="str">
        <f t="shared" si="4"/>
        <v/>
      </c>
      <c r="H144" s="24"/>
      <c r="I144" s="24"/>
      <c r="J144" s="24"/>
      <c r="K144" s="203">
        <f t="shared" ca="1" si="15"/>
        <v>0.20715</v>
      </c>
      <c r="L144" s="163">
        <f t="shared" ca="1" si="16"/>
        <v>0.20715</v>
      </c>
      <c r="M144" s="163">
        <f t="shared" ca="1" si="17"/>
        <v>0.20715</v>
      </c>
      <c r="N144" s="205">
        <f t="shared" ca="1" si="18"/>
        <v>0.20715</v>
      </c>
      <c r="O144" s="164"/>
      <c r="P144" s="165"/>
      <c r="Q144" s="165"/>
    </row>
    <row r="145" spans="1:28" s="67" customFormat="1" ht="15.75" x14ac:dyDescent="0.25">
      <c r="A145" s="54" t="s">
        <v>43</v>
      </c>
      <c r="B145" s="54"/>
      <c r="C145" s="54"/>
      <c r="D145" s="65"/>
      <c r="E145" s="66"/>
      <c r="F145" s="65"/>
      <c r="G145" s="55">
        <f>SUM(G45:G144)</f>
        <v>0</v>
      </c>
      <c r="H145" s="65"/>
      <c r="I145" s="65"/>
      <c r="J145" s="65"/>
      <c r="K145" s="139"/>
      <c r="L145" s="166"/>
      <c r="M145" s="166"/>
      <c r="N145" s="166"/>
      <c r="O145" s="164"/>
      <c r="P145" s="165"/>
      <c r="Q145" s="166"/>
      <c r="R145" s="140"/>
      <c r="S145" s="140"/>
      <c r="T145" s="140"/>
      <c r="U145" s="140"/>
      <c r="V145" s="140"/>
      <c r="W145" s="140"/>
      <c r="X145" s="140"/>
      <c r="Y145" s="140"/>
      <c r="Z145" s="140"/>
      <c r="AA145" s="140"/>
      <c r="AB145" s="140"/>
    </row>
    <row r="146" spans="1:28" x14ac:dyDescent="0.2">
      <c r="A146" s="43"/>
      <c r="B146" s="43"/>
      <c r="C146" s="43"/>
      <c r="D146" s="24"/>
      <c r="E146" s="24"/>
      <c r="F146" s="24"/>
      <c r="G146" s="68"/>
      <c r="H146" s="24"/>
      <c r="I146" s="24"/>
      <c r="J146" s="24"/>
      <c r="K146" s="7"/>
      <c r="L146" s="157"/>
      <c r="M146" s="157"/>
      <c r="N146" s="157"/>
      <c r="O146" s="164"/>
      <c r="P146" s="165"/>
      <c r="Q146" s="157"/>
    </row>
    <row r="147" spans="1:28" ht="18.75" thickBot="1" x14ac:dyDescent="0.3">
      <c r="A147" s="69" t="s">
        <v>62</v>
      </c>
      <c r="B147" s="30"/>
      <c r="C147" s="30"/>
      <c r="D147" s="30"/>
      <c r="E147" s="30"/>
      <c r="F147" s="30"/>
      <c r="G147" s="21"/>
      <c r="H147" s="21"/>
      <c r="I147" s="21"/>
      <c r="J147" s="21"/>
      <c r="K147" s="7"/>
      <c r="L147" s="157"/>
      <c r="M147" s="157"/>
      <c r="N147" s="157"/>
      <c r="O147" s="164"/>
      <c r="P147" s="165"/>
      <c r="Q147" s="157"/>
    </row>
    <row r="148" spans="1:28" s="71" customFormat="1" x14ac:dyDescent="0.2">
      <c r="A148" s="28"/>
      <c r="B148" s="70"/>
      <c r="C148" s="70"/>
      <c r="D148" s="70"/>
      <c r="E148" s="70"/>
      <c r="F148" s="70"/>
      <c r="H148" s="70"/>
      <c r="I148" s="70"/>
      <c r="J148" s="70"/>
      <c r="K148" s="141"/>
      <c r="L148" s="159"/>
      <c r="M148" s="158"/>
      <c r="N148" s="157"/>
      <c r="O148" s="158"/>
      <c r="P148" s="157"/>
      <c r="Q148" s="157"/>
      <c r="R148" s="142"/>
      <c r="S148" s="142"/>
      <c r="T148" s="142"/>
      <c r="U148" s="142"/>
      <c r="V148" s="142"/>
      <c r="W148" s="142"/>
      <c r="X148" s="142"/>
      <c r="Y148" s="142"/>
      <c r="Z148" s="142"/>
      <c r="AA148" s="142"/>
      <c r="AB148" s="142"/>
    </row>
    <row r="149" spans="1:28" x14ac:dyDescent="0.2">
      <c r="A149" s="43" t="s">
        <v>63</v>
      </c>
      <c r="B149" s="33"/>
      <c r="C149" s="33"/>
      <c r="D149" s="24"/>
      <c r="E149" s="24"/>
      <c r="F149" s="24"/>
      <c r="G149" s="72"/>
      <c r="H149" s="24"/>
      <c r="I149" s="27"/>
      <c r="J149" s="27"/>
      <c r="K149" s="7"/>
      <c r="L149" s="157"/>
      <c r="M149" s="157"/>
      <c r="N149" s="157"/>
      <c r="O149" s="157"/>
      <c r="P149" s="157"/>
      <c r="Q149" s="157"/>
    </row>
    <row r="150" spans="1:28" x14ac:dyDescent="0.2">
      <c r="A150" s="70" t="s">
        <v>64</v>
      </c>
      <c r="B150" s="33"/>
      <c r="C150" s="33"/>
      <c r="D150" s="24"/>
      <c r="E150" s="27"/>
      <c r="F150" s="72"/>
      <c r="G150" s="27"/>
      <c r="H150" s="304" t="s">
        <v>65</v>
      </c>
      <c r="I150" s="304"/>
      <c r="J150" s="305"/>
      <c r="K150" s="7"/>
      <c r="L150" s="157"/>
      <c r="M150" s="157"/>
      <c r="N150" s="157"/>
      <c r="O150" s="157"/>
      <c r="P150" s="157"/>
      <c r="Q150" s="157"/>
      <c r="R150" s="133"/>
      <c r="S150" s="133"/>
      <c r="T150" s="133"/>
      <c r="U150" s="133"/>
      <c r="V150" s="133"/>
      <c r="W150" s="133"/>
      <c r="X150" s="133"/>
      <c r="Y150" s="133"/>
      <c r="Z150" s="133"/>
      <c r="AA150" s="133"/>
      <c r="AB150" s="133"/>
    </row>
    <row r="151" spans="1:28" ht="25.5" x14ac:dyDescent="0.2">
      <c r="A151" s="70"/>
      <c r="B151" s="24"/>
      <c r="C151" s="73" t="s">
        <v>50</v>
      </c>
      <c r="D151" s="73" t="s">
        <v>66</v>
      </c>
      <c r="E151" s="73" t="s">
        <v>67</v>
      </c>
      <c r="F151" s="74" t="s">
        <v>68</v>
      </c>
      <c r="G151" s="75"/>
      <c r="H151" s="76" t="s">
        <v>69</v>
      </c>
      <c r="I151" s="77" t="s">
        <v>70</v>
      </c>
      <c r="J151" s="78" t="s">
        <v>71</v>
      </c>
      <c r="K151" s="7"/>
      <c r="L151" s="157"/>
      <c r="M151" s="157" t="s">
        <v>72</v>
      </c>
      <c r="N151" s="157"/>
      <c r="O151" s="157"/>
      <c r="P151" s="157"/>
      <c r="Q151" s="157"/>
      <c r="R151" s="133"/>
      <c r="S151" s="133"/>
      <c r="T151" s="133"/>
      <c r="U151" s="133"/>
      <c r="V151" s="133"/>
      <c r="W151" s="133"/>
      <c r="X151" s="133"/>
      <c r="Y151" s="133"/>
      <c r="Z151" s="133"/>
      <c r="AA151" s="133"/>
      <c r="AB151" s="133"/>
    </row>
    <row r="152" spans="1:28" x14ac:dyDescent="0.2">
      <c r="A152" s="70"/>
      <c r="B152" s="79">
        <v>1</v>
      </c>
      <c r="C152" s="127"/>
      <c r="D152" s="5"/>
      <c r="E152" s="128">
        <v>0</v>
      </c>
      <c r="F152" s="80">
        <f>IF((D152="Ground Lease"),J152,IF(D152="Deed/GL",(E152+J152),E152))</f>
        <v>0</v>
      </c>
      <c r="G152" s="81"/>
      <c r="H152" s="129"/>
      <c r="I152" s="130"/>
      <c r="J152" s="82">
        <f>IF(H152&gt;36,"INVALID",H152*I152)</f>
        <v>0</v>
      </c>
      <c r="L152" s="157"/>
      <c r="M152" s="157" t="s">
        <v>74</v>
      </c>
      <c r="N152" s="167"/>
      <c r="O152" s="167"/>
      <c r="P152" s="157"/>
      <c r="Q152" s="167"/>
      <c r="R152" s="143"/>
      <c r="S152" s="143"/>
      <c r="T152" s="143"/>
      <c r="U152" s="143"/>
      <c r="V152" s="143"/>
      <c r="W152" s="143"/>
      <c r="X152" s="143"/>
      <c r="Y152" s="143"/>
      <c r="Z152" s="143"/>
      <c r="AA152" s="143"/>
      <c r="AB152" s="143"/>
    </row>
    <row r="153" spans="1:28" x14ac:dyDescent="0.2">
      <c r="A153" s="70"/>
      <c r="B153" s="79">
        <v>2</v>
      </c>
      <c r="C153" s="127"/>
      <c r="D153" s="5"/>
      <c r="E153" s="128"/>
      <c r="F153" s="80">
        <f t="shared" ref="F153:F159" si="19">IF((D153="Ground Lease"),J153,IF(D153="Deed/GL",(E153+J153),E153))</f>
        <v>0</v>
      </c>
      <c r="G153" s="81"/>
      <c r="H153" s="129"/>
      <c r="I153" s="130"/>
      <c r="J153" s="82">
        <f t="shared" ref="J153:J159" si="20">IF(H153&gt;36,"INVALID",H153*I153)</f>
        <v>0</v>
      </c>
      <c r="K153" s="7"/>
      <c r="L153" s="157"/>
      <c r="M153" s="157" t="s">
        <v>73</v>
      </c>
      <c r="N153" s="167"/>
      <c r="O153" s="167"/>
      <c r="P153" s="157"/>
      <c r="Q153" s="167"/>
      <c r="R153" s="143"/>
      <c r="S153" s="143"/>
      <c r="T153" s="143"/>
      <c r="U153" s="143"/>
      <c r="V153" s="143"/>
      <c r="W153" s="143"/>
      <c r="X153" s="143"/>
      <c r="Y153" s="143"/>
      <c r="Z153" s="143"/>
      <c r="AA153" s="143"/>
      <c r="AB153" s="143"/>
    </row>
    <row r="154" spans="1:28" x14ac:dyDescent="0.2">
      <c r="A154" s="70"/>
      <c r="B154" s="79">
        <v>3</v>
      </c>
      <c r="C154" s="127"/>
      <c r="D154" s="5"/>
      <c r="E154" s="128"/>
      <c r="F154" s="80">
        <f t="shared" si="19"/>
        <v>0</v>
      </c>
      <c r="G154" s="81"/>
      <c r="H154" s="129"/>
      <c r="I154" s="130"/>
      <c r="J154" s="82">
        <f t="shared" si="20"/>
        <v>0</v>
      </c>
      <c r="K154" s="7"/>
      <c r="L154" s="157"/>
      <c r="M154" s="157" t="s">
        <v>75</v>
      </c>
      <c r="N154" s="167"/>
      <c r="O154" s="167"/>
      <c r="P154" s="157"/>
      <c r="Q154" s="167"/>
      <c r="R154" s="143"/>
      <c r="S154" s="143"/>
      <c r="T154" s="143"/>
      <c r="U154" s="143"/>
      <c r="V154" s="143"/>
      <c r="W154" s="143"/>
      <c r="X154" s="143"/>
      <c r="Y154" s="143"/>
      <c r="Z154" s="143"/>
      <c r="AA154" s="143"/>
      <c r="AB154" s="143"/>
    </row>
    <row r="155" spans="1:28" x14ac:dyDescent="0.2">
      <c r="A155" s="70"/>
      <c r="B155" s="79">
        <v>4</v>
      </c>
      <c r="C155" s="127"/>
      <c r="D155" s="5"/>
      <c r="E155" s="128"/>
      <c r="F155" s="80">
        <f t="shared" si="19"/>
        <v>0</v>
      </c>
      <c r="G155" s="81"/>
      <c r="H155" s="129"/>
      <c r="I155" s="130"/>
      <c r="J155" s="82">
        <f t="shared" si="20"/>
        <v>0</v>
      </c>
      <c r="K155" s="7"/>
      <c r="L155" s="157"/>
      <c r="M155" s="157"/>
      <c r="N155" s="167"/>
      <c r="O155" s="167"/>
      <c r="P155" s="157"/>
      <c r="Q155" s="167"/>
      <c r="R155" s="143"/>
      <c r="S155" s="143"/>
      <c r="T155" s="143"/>
      <c r="U155" s="143"/>
      <c r="V155" s="143"/>
      <c r="W155" s="143"/>
      <c r="X155" s="143"/>
      <c r="Y155" s="143"/>
      <c r="Z155" s="143"/>
      <c r="AA155" s="143"/>
      <c r="AB155" s="143"/>
    </row>
    <row r="156" spans="1:28" x14ac:dyDescent="0.2">
      <c r="A156" s="70"/>
      <c r="B156" s="79">
        <v>5</v>
      </c>
      <c r="C156" s="127"/>
      <c r="D156" s="5"/>
      <c r="E156" s="128"/>
      <c r="F156" s="80">
        <f t="shared" si="19"/>
        <v>0</v>
      </c>
      <c r="G156" s="81"/>
      <c r="H156" s="129"/>
      <c r="I156" s="130"/>
      <c r="J156" s="82">
        <f t="shared" si="20"/>
        <v>0</v>
      </c>
      <c r="K156" s="7"/>
      <c r="L156" s="157"/>
      <c r="M156" s="157"/>
      <c r="N156" s="167"/>
      <c r="O156" s="167"/>
      <c r="P156" s="157"/>
      <c r="Q156" s="167"/>
      <c r="R156" s="143"/>
      <c r="S156" s="143"/>
      <c r="T156" s="143"/>
      <c r="U156" s="143"/>
      <c r="V156" s="143"/>
      <c r="W156" s="143"/>
      <c r="X156" s="143"/>
      <c r="Y156" s="143"/>
      <c r="Z156" s="143"/>
      <c r="AA156" s="143"/>
      <c r="AB156" s="143"/>
    </row>
    <row r="157" spans="1:28" x14ac:dyDescent="0.2">
      <c r="A157" s="70"/>
      <c r="B157" s="79">
        <v>6</v>
      </c>
      <c r="C157" s="127"/>
      <c r="D157" s="5"/>
      <c r="E157" s="128"/>
      <c r="F157" s="80">
        <f t="shared" si="19"/>
        <v>0</v>
      </c>
      <c r="G157" s="81"/>
      <c r="H157" s="129"/>
      <c r="I157" s="130"/>
      <c r="J157" s="82">
        <f t="shared" si="20"/>
        <v>0</v>
      </c>
      <c r="K157" s="7"/>
      <c r="L157" s="157"/>
      <c r="M157" s="157"/>
      <c r="N157" s="167"/>
      <c r="O157" s="167"/>
      <c r="P157" s="157"/>
      <c r="Q157" s="167"/>
      <c r="R157" s="143"/>
      <c r="S157" s="143"/>
      <c r="T157" s="143"/>
      <c r="U157" s="143"/>
      <c r="V157" s="143"/>
      <c r="W157" s="143"/>
      <c r="X157" s="143"/>
      <c r="Y157" s="143"/>
      <c r="Z157" s="143"/>
      <c r="AA157" s="143"/>
      <c r="AB157" s="143"/>
    </row>
    <row r="158" spans="1:28" x14ac:dyDescent="0.2">
      <c r="A158" s="70"/>
      <c r="B158" s="79">
        <v>7</v>
      </c>
      <c r="C158" s="127"/>
      <c r="D158" s="5"/>
      <c r="E158" s="128"/>
      <c r="F158" s="80">
        <f t="shared" si="19"/>
        <v>0</v>
      </c>
      <c r="G158" s="81"/>
      <c r="H158" s="129"/>
      <c r="I158" s="130"/>
      <c r="J158" s="82">
        <f t="shared" si="20"/>
        <v>0</v>
      </c>
      <c r="K158" s="7"/>
      <c r="L158" s="157"/>
      <c r="M158" s="157"/>
      <c r="N158" s="167"/>
      <c r="O158" s="167"/>
      <c r="P158" s="157"/>
      <c r="Q158" s="167"/>
      <c r="R158" s="143"/>
      <c r="S158" s="143"/>
      <c r="T158" s="143"/>
      <c r="U158" s="143"/>
      <c r="V158" s="143"/>
      <c r="W158" s="143"/>
      <c r="X158" s="143"/>
      <c r="Y158" s="143"/>
      <c r="Z158" s="143"/>
      <c r="AA158" s="143"/>
      <c r="AB158" s="143"/>
    </row>
    <row r="159" spans="1:28" x14ac:dyDescent="0.2">
      <c r="A159" s="70"/>
      <c r="B159" s="79">
        <v>8</v>
      </c>
      <c r="C159" s="127"/>
      <c r="D159" s="5"/>
      <c r="E159" s="128"/>
      <c r="F159" s="80">
        <f t="shared" si="19"/>
        <v>0</v>
      </c>
      <c r="G159" s="81"/>
      <c r="H159" s="129"/>
      <c r="I159" s="130"/>
      <c r="J159" s="82">
        <f t="shared" si="20"/>
        <v>0</v>
      </c>
      <c r="K159" s="7"/>
      <c r="L159" s="157"/>
      <c r="M159" s="157"/>
      <c r="N159" s="167"/>
      <c r="O159" s="167"/>
      <c r="P159" s="157"/>
      <c r="Q159" s="167"/>
      <c r="R159" s="143"/>
      <c r="S159" s="143"/>
      <c r="T159" s="143"/>
      <c r="U159" s="143"/>
      <c r="V159" s="143"/>
      <c r="W159" s="143"/>
      <c r="X159" s="143"/>
      <c r="Y159" s="143"/>
      <c r="Z159" s="143"/>
      <c r="AA159" s="143"/>
      <c r="AB159" s="143"/>
    </row>
    <row r="160" spans="1:28" x14ac:dyDescent="0.2">
      <c r="A160" s="70"/>
      <c r="B160" s="79">
        <v>9</v>
      </c>
      <c r="C160" s="127"/>
      <c r="D160" s="5"/>
      <c r="E160" s="128"/>
      <c r="F160" s="80">
        <f t="shared" ref="F160:F166" si="21">IF((D160="Ground Lease"),J160,IF(D160="Deed/GL",(E160+J160),E160))</f>
        <v>0</v>
      </c>
      <c r="G160" s="81"/>
      <c r="H160" s="129"/>
      <c r="I160" s="130"/>
      <c r="J160" s="82">
        <f t="shared" ref="J160:J166" si="22">IF(H160&gt;36,"INVALID",H160*I160)</f>
        <v>0</v>
      </c>
      <c r="K160" s="7"/>
      <c r="L160" s="157"/>
      <c r="M160" s="157"/>
      <c r="N160" s="167"/>
      <c r="O160" s="167"/>
      <c r="P160" s="157"/>
      <c r="Q160" s="167"/>
      <c r="R160" s="143"/>
      <c r="S160" s="143"/>
      <c r="T160" s="143"/>
      <c r="U160" s="143"/>
      <c r="V160" s="143"/>
      <c r="W160" s="143"/>
      <c r="X160" s="143"/>
      <c r="Y160" s="143"/>
      <c r="Z160" s="143"/>
      <c r="AA160" s="143"/>
      <c r="AB160" s="143"/>
    </row>
    <row r="161" spans="1:28" x14ac:dyDescent="0.2">
      <c r="A161" s="70"/>
      <c r="B161" s="79">
        <v>10</v>
      </c>
      <c r="C161" s="127"/>
      <c r="D161" s="5"/>
      <c r="E161" s="128"/>
      <c r="F161" s="80">
        <f t="shared" si="21"/>
        <v>0</v>
      </c>
      <c r="G161" s="81"/>
      <c r="H161" s="129"/>
      <c r="I161" s="130"/>
      <c r="J161" s="82">
        <f t="shared" si="22"/>
        <v>0</v>
      </c>
      <c r="K161" s="7"/>
      <c r="L161" s="157"/>
      <c r="M161" s="157"/>
      <c r="N161" s="167"/>
      <c r="O161" s="167"/>
      <c r="P161" s="157"/>
      <c r="Q161" s="167"/>
      <c r="R161" s="143"/>
      <c r="S161" s="143"/>
      <c r="T161" s="143"/>
      <c r="U161" s="143"/>
      <c r="V161" s="143"/>
      <c r="W161" s="143"/>
      <c r="X161" s="143"/>
      <c r="Y161" s="143"/>
      <c r="Z161" s="143"/>
      <c r="AA161" s="143"/>
      <c r="AB161" s="143"/>
    </row>
    <row r="162" spans="1:28" x14ac:dyDescent="0.2">
      <c r="A162" s="70"/>
      <c r="B162" s="79">
        <v>11</v>
      </c>
      <c r="C162" s="127"/>
      <c r="D162" s="5"/>
      <c r="E162" s="128"/>
      <c r="F162" s="80">
        <f t="shared" si="21"/>
        <v>0</v>
      </c>
      <c r="G162" s="81"/>
      <c r="H162" s="129"/>
      <c r="I162" s="130"/>
      <c r="J162" s="82">
        <f t="shared" si="22"/>
        <v>0</v>
      </c>
      <c r="K162" s="7"/>
      <c r="L162" s="157"/>
      <c r="M162" s="157"/>
      <c r="N162" s="167"/>
      <c r="O162" s="167"/>
      <c r="P162" s="157"/>
      <c r="Q162" s="167"/>
      <c r="R162" s="143"/>
      <c r="S162" s="143"/>
      <c r="T162" s="143"/>
      <c r="U162" s="143"/>
      <c r="V162" s="143"/>
      <c r="W162" s="143"/>
      <c r="X162" s="143"/>
      <c r="Y162" s="143"/>
      <c r="Z162" s="143"/>
      <c r="AA162" s="143"/>
      <c r="AB162" s="143"/>
    </row>
    <row r="163" spans="1:28" x14ac:dyDescent="0.2">
      <c r="A163" s="70"/>
      <c r="B163" s="79">
        <v>12</v>
      </c>
      <c r="C163" s="127"/>
      <c r="D163" s="5"/>
      <c r="E163" s="128"/>
      <c r="F163" s="80">
        <f t="shared" si="21"/>
        <v>0</v>
      </c>
      <c r="G163" s="81"/>
      <c r="H163" s="129"/>
      <c r="I163" s="130"/>
      <c r="J163" s="82">
        <f t="shared" si="22"/>
        <v>0</v>
      </c>
      <c r="K163" s="7"/>
      <c r="L163" s="157"/>
      <c r="M163" s="157"/>
      <c r="N163" s="167"/>
      <c r="O163" s="167"/>
      <c r="P163" s="157"/>
      <c r="Q163" s="167"/>
      <c r="R163" s="143"/>
      <c r="S163" s="143"/>
      <c r="T163" s="143"/>
      <c r="U163" s="143"/>
      <c r="V163" s="143"/>
      <c r="W163" s="143"/>
      <c r="X163" s="143"/>
      <c r="Y163" s="143"/>
      <c r="Z163" s="143"/>
      <c r="AA163" s="143"/>
      <c r="AB163" s="143"/>
    </row>
    <row r="164" spans="1:28" x14ac:dyDescent="0.2">
      <c r="A164" s="70"/>
      <c r="B164" s="79">
        <v>13</v>
      </c>
      <c r="C164" s="127"/>
      <c r="D164" s="5"/>
      <c r="E164" s="128"/>
      <c r="F164" s="80">
        <f t="shared" si="21"/>
        <v>0</v>
      </c>
      <c r="G164" s="81"/>
      <c r="H164" s="129"/>
      <c r="I164" s="130"/>
      <c r="J164" s="82">
        <f t="shared" si="22"/>
        <v>0</v>
      </c>
      <c r="K164" s="7"/>
      <c r="L164" s="157"/>
      <c r="M164" s="157"/>
      <c r="N164" s="167"/>
      <c r="O164" s="167"/>
      <c r="P164" s="157"/>
      <c r="Q164" s="167"/>
      <c r="R164" s="143"/>
      <c r="S164" s="143"/>
      <c r="T164" s="143"/>
      <c r="U164" s="143"/>
      <c r="V164" s="143"/>
      <c r="W164" s="143"/>
      <c r="X164" s="143"/>
      <c r="Y164" s="143"/>
      <c r="Z164" s="143"/>
      <c r="AA164" s="143"/>
      <c r="AB164" s="143"/>
    </row>
    <row r="165" spans="1:28" x14ac:dyDescent="0.2">
      <c r="A165" s="70"/>
      <c r="B165" s="79">
        <v>14</v>
      </c>
      <c r="C165" s="127"/>
      <c r="D165" s="5"/>
      <c r="E165" s="128"/>
      <c r="F165" s="80">
        <f t="shared" si="21"/>
        <v>0</v>
      </c>
      <c r="G165" s="81"/>
      <c r="H165" s="129"/>
      <c r="I165" s="130"/>
      <c r="J165" s="82">
        <f t="shared" si="22"/>
        <v>0</v>
      </c>
      <c r="K165" s="7"/>
      <c r="L165" s="157"/>
      <c r="M165" s="157"/>
      <c r="N165" s="167"/>
      <c r="O165" s="167"/>
      <c r="P165" s="157"/>
      <c r="Q165" s="167"/>
      <c r="R165" s="143"/>
      <c r="S165" s="143"/>
      <c r="T165" s="143"/>
      <c r="U165" s="143"/>
      <c r="V165" s="143"/>
      <c r="W165" s="143"/>
      <c r="X165" s="143"/>
      <c r="Y165" s="143"/>
      <c r="Z165" s="143"/>
      <c r="AA165" s="143"/>
      <c r="AB165" s="143"/>
    </row>
    <row r="166" spans="1:28" x14ac:dyDescent="0.2">
      <c r="A166" s="70"/>
      <c r="B166" s="79">
        <v>15</v>
      </c>
      <c r="C166" s="127"/>
      <c r="D166" s="5"/>
      <c r="E166" s="128"/>
      <c r="F166" s="80">
        <f t="shared" si="21"/>
        <v>0</v>
      </c>
      <c r="G166" s="81"/>
      <c r="H166" s="129"/>
      <c r="I166" s="130"/>
      <c r="J166" s="82">
        <f t="shared" si="22"/>
        <v>0</v>
      </c>
      <c r="K166" s="7"/>
      <c r="L166" s="157"/>
      <c r="M166" s="157"/>
      <c r="N166" s="167"/>
      <c r="O166" s="167"/>
      <c r="P166" s="157"/>
      <c r="Q166" s="167"/>
      <c r="R166" s="143"/>
      <c r="S166" s="143"/>
      <c r="T166" s="143"/>
      <c r="U166" s="143"/>
      <c r="V166" s="143"/>
      <c r="W166" s="143"/>
      <c r="X166" s="143"/>
      <c r="Y166" s="143"/>
      <c r="Z166" s="143"/>
      <c r="AA166" s="143"/>
      <c r="AB166" s="143"/>
    </row>
    <row r="167" spans="1:28" x14ac:dyDescent="0.2">
      <c r="A167" s="70"/>
      <c r="B167" s="79">
        <v>16</v>
      </c>
      <c r="C167" s="127"/>
      <c r="D167" s="5"/>
      <c r="E167" s="128"/>
      <c r="F167" s="80">
        <f>IF((D167="Ground Lease"),J167,IF(D167="Deed/GL",(E167+J167),E167))</f>
        <v>0</v>
      </c>
      <c r="G167" s="81"/>
      <c r="H167" s="129"/>
      <c r="I167" s="130"/>
      <c r="J167" s="82">
        <f>IF(H167&gt;36,"INVALID",H167*I167)</f>
        <v>0</v>
      </c>
      <c r="K167" s="7"/>
      <c r="L167" s="157"/>
      <c r="M167" s="157"/>
      <c r="N167" s="167"/>
      <c r="O167" s="167"/>
      <c r="P167" s="157"/>
      <c r="Q167" s="167"/>
      <c r="R167" s="143"/>
      <c r="S167" s="143"/>
      <c r="T167" s="143"/>
      <c r="U167" s="143"/>
      <c r="V167" s="143"/>
      <c r="W167" s="143"/>
      <c r="X167" s="143"/>
      <c r="Y167" s="143"/>
      <c r="Z167" s="143"/>
      <c r="AA167" s="143"/>
      <c r="AB167" s="143"/>
    </row>
    <row r="168" spans="1:28" x14ac:dyDescent="0.2">
      <c r="A168" s="70"/>
      <c r="B168" s="79">
        <v>17</v>
      </c>
      <c r="C168" s="127"/>
      <c r="D168" s="5"/>
      <c r="E168" s="128"/>
      <c r="F168" s="80">
        <f>IF((D168="Ground Lease"),J168,IF(D168="Deed/GL",(E168+J168),E168))</f>
        <v>0</v>
      </c>
      <c r="G168" s="81"/>
      <c r="H168" s="129"/>
      <c r="I168" s="130"/>
      <c r="J168" s="82">
        <f>IF(H168&gt;36,"INVALID",H168*I168)</f>
        <v>0</v>
      </c>
      <c r="L168" s="157"/>
      <c r="M168" s="157"/>
      <c r="N168" s="167"/>
      <c r="O168" s="167"/>
      <c r="P168" s="157"/>
      <c r="Q168" s="167"/>
      <c r="R168" s="143"/>
      <c r="S168" s="143"/>
      <c r="T168" s="143"/>
      <c r="U168" s="143"/>
      <c r="V168" s="143"/>
      <c r="W168" s="143"/>
      <c r="X168" s="143"/>
      <c r="Y168" s="143"/>
      <c r="Z168" s="143"/>
      <c r="AA168" s="143"/>
      <c r="AB168" s="143"/>
    </row>
    <row r="169" spans="1:28" x14ac:dyDescent="0.2">
      <c r="A169" s="70"/>
      <c r="B169" s="79">
        <v>18</v>
      </c>
      <c r="C169" s="127"/>
      <c r="D169" s="5"/>
      <c r="E169" s="128"/>
      <c r="F169" s="80">
        <f t="shared" ref="F169:F183" si="23">IF((D169="Ground Lease"),J169,IF(D169="Deed/GL",(E169+J169),E169))</f>
        <v>0</v>
      </c>
      <c r="G169" s="81"/>
      <c r="H169" s="129"/>
      <c r="I169" s="130"/>
      <c r="J169" s="82">
        <f t="shared" ref="J169:J183" si="24">IF(H169&gt;36,"INVALID",H169*I169)</f>
        <v>0</v>
      </c>
      <c r="K169" s="7"/>
      <c r="L169" s="157"/>
      <c r="M169" s="157"/>
      <c r="N169" s="167"/>
      <c r="O169" s="167"/>
      <c r="P169" s="157"/>
      <c r="Q169" s="167"/>
      <c r="R169" s="143"/>
      <c r="S169" s="143"/>
      <c r="T169" s="143"/>
      <c r="U169" s="143"/>
      <c r="V169" s="143"/>
      <c r="W169" s="143"/>
      <c r="X169" s="143"/>
      <c r="Y169" s="143"/>
      <c r="Z169" s="143"/>
      <c r="AA169" s="143"/>
      <c r="AB169" s="143"/>
    </row>
    <row r="170" spans="1:28" x14ac:dyDescent="0.2">
      <c r="A170" s="70"/>
      <c r="B170" s="79">
        <v>19</v>
      </c>
      <c r="C170" s="127"/>
      <c r="D170" s="5"/>
      <c r="E170" s="128"/>
      <c r="F170" s="80">
        <f t="shared" si="23"/>
        <v>0</v>
      </c>
      <c r="G170" s="81"/>
      <c r="H170" s="129"/>
      <c r="I170" s="130"/>
      <c r="J170" s="82">
        <f t="shared" si="24"/>
        <v>0</v>
      </c>
      <c r="K170" s="7"/>
      <c r="L170" s="157"/>
      <c r="M170" s="157"/>
      <c r="N170" s="167"/>
      <c r="O170" s="167"/>
      <c r="P170" s="157"/>
      <c r="Q170" s="167"/>
      <c r="R170" s="143"/>
      <c r="S170" s="143"/>
      <c r="T170" s="143"/>
      <c r="U170" s="143"/>
      <c r="V170" s="143"/>
      <c r="W170" s="143"/>
      <c r="X170" s="143"/>
      <c r="Y170" s="143"/>
      <c r="Z170" s="143"/>
      <c r="AA170" s="143"/>
      <c r="AB170" s="143"/>
    </row>
    <row r="171" spans="1:28" x14ac:dyDescent="0.2">
      <c r="A171" s="70"/>
      <c r="B171" s="79">
        <v>20</v>
      </c>
      <c r="C171" s="127"/>
      <c r="D171" s="5"/>
      <c r="E171" s="128"/>
      <c r="F171" s="80">
        <f t="shared" si="23"/>
        <v>0</v>
      </c>
      <c r="G171" s="81"/>
      <c r="H171" s="129"/>
      <c r="I171" s="130"/>
      <c r="J171" s="82">
        <f t="shared" si="24"/>
        <v>0</v>
      </c>
      <c r="K171" s="7"/>
      <c r="L171" s="157"/>
      <c r="M171" s="157"/>
      <c r="N171" s="167"/>
      <c r="O171" s="167"/>
      <c r="P171" s="157"/>
      <c r="Q171" s="167"/>
      <c r="R171" s="143"/>
      <c r="S171" s="143"/>
      <c r="T171" s="143"/>
      <c r="U171" s="143"/>
      <c r="V171" s="143"/>
      <c r="W171" s="143"/>
      <c r="X171" s="143"/>
      <c r="Y171" s="143"/>
      <c r="Z171" s="143"/>
      <c r="AA171" s="143"/>
      <c r="AB171" s="143"/>
    </row>
    <row r="172" spans="1:28" x14ac:dyDescent="0.2">
      <c r="A172" s="70"/>
      <c r="B172" s="79">
        <v>21</v>
      </c>
      <c r="C172" s="127"/>
      <c r="D172" s="5"/>
      <c r="E172" s="128"/>
      <c r="F172" s="80">
        <f t="shared" si="23"/>
        <v>0</v>
      </c>
      <c r="G172" s="81"/>
      <c r="H172" s="129"/>
      <c r="I172" s="130"/>
      <c r="J172" s="82">
        <f t="shared" si="24"/>
        <v>0</v>
      </c>
      <c r="K172" s="7"/>
      <c r="L172" s="157"/>
      <c r="M172" s="157"/>
      <c r="N172" s="167"/>
      <c r="O172" s="167"/>
      <c r="P172" s="157"/>
      <c r="Q172" s="167"/>
      <c r="R172" s="143"/>
      <c r="S172" s="143"/>
      <c r="T172" s="143"/>
      <c r="U172" s="143"/>
      <c r="V172" s="143"/>
      <c r="W172" s="143"/>
      <c r="X172" s="143"/>
      <c r="Y172" s="143"/>
      <c r="Z172" s="143"/>
      <c r="AA172" s="143"/>
      <c r="AB172" s="143"/>
    </row>
    <row r="173" spans="1:28" x14ac:dyDescent="0.2">
      <c r="A173" s="70"/>
      <c r="B173" s="79">
        <v>22</v>
      </c>
      <c r="C173" s="127"/>
      <c r="D173" s="5"/>
      <c r="E173" s="128"/>
      <c r="F173" s="80">
        <f t="shared" si="23"/>
        <v>0</v>
      </c>
      <c r="G173" s="81"/>
      <c r="H173" s="129"/>
      <c r="I173" s="130"/>
      <c r="J173" s="82">
        <f t="shared" si="24"/>
        <v>0</v>
      </c>
      <c r="K173" s="7"/>
      <c r="L173" s="157"/>
      <c r="M173" s="157"/>
      <c r="N173" s="167"/>
      <c r="O173" s="167"/>
      <c r="P173" s="157"/>
      <c r="Q173" s="167"/>
      <c r="R173" s="143"/>
      <c r="S173" s="143"/>
      <c r="T173" s="143"/>
      <c r="U173" s="143"/>
      <c r="V173" s="143"/>
      <c r="W173" s="143"/>
      <c r="X173" s="143"/>
      <c r="Y173" s="143"/>
      <c r="Z173" s="143"/>
      <c r="AA173" s="143"/>
      <c r="AB173" s="143"/>
    </row>
    <row r="174" spans="1:28" x14ac:dyDescent="0.2">
      <c r="A174" s="70"/>
      <c r="B174" s="79">
        <v>23</v>
      </c>
      <c r="C174" s="127"/>
      <c r="D174" s="5"/>
      <c r="E174" s="128"/>
      <c r="F174" s="80">
        <f t="shared" si="23"/>
        <v>0</v>
      </c>
      <c r="G174" s="81"/>
      <c r="H174" s="129"/>
      <c r="I174" s="130"/>
      <c r="J174" s="82">
        <f t="shared" si="24"/>
        <v>0</v>
      </c>
      <c r="K174" s="7"/>
      <c r="L174" s="157"/>
      <c r="M174" s="157"/>
      <c r="N174" s="167"/>
      <c r="O174" s="167"/>
      <c r="P174" s="157"/>
      <c r="Q174" s="167"/>
      <c r="R174" s="143"/>
      <c r="S174" s="143"/>
      <c r="T174" s="143"/>
      <c r="U174" s="143"/>
      <c r="V174" s="143"/>
      <c r="W174" s="143"/>
      <c r="X174" s="143"/>
      <c r="Y174" s="143"/>
      <c r="Z174" s="143"/>
      <c r="AA174" s="143"/>
      <c r="AB174" s="143"/>
    </row>
    <row r="175" spans="1:28" x14ac:dyDescent="0.2">
      <c r="A175" s="70"/>
      <c r="B175" s="79">
        <v>24</v>
      </c>
      <c r="C175" s="127"/>
      <c r="D175" s="5"/>
      <c r="E175" s="128"/>
      <c r="F175" s="80">
        <f t="shared" si="23"/>
        <v>0</v>
      </c>
      <c r="G175" s="81"/>
      <c r="H175" s="129"/>
      <c r="I175" s="130"/>
      <c r="J175" s="82">
        <f t="shared" si="24"/>
        <v>0</v>
      </c>
      <c r="K175" s="7"/>
      <c r="L175" s="157"/>
      <c r="M175" s="157"/>
      <c r="N175" s="167"/>
      <c r="O175" s="167"/>
      <c r="P175" s="157"/>
      <c r="Q175" s="167"/>
      <c r="R175" s="143"/>
      <c r="S175" s="143"/>
      <c r="T175" s="143"/>
      <c r="U175" s="143"/>
      <c r="V175" s="143"/>
      <c r="W175" s="143"/>
      <c r="X175" s="143"/>
      <c r="Y175" s="143"/>
      <c r="Z175" s="143"/>
      <c r="AA175" s="143"/>
      <c r="AB175" s="143"/>
    </row>
    <row r="176" spans="1:28" x14ac:dyDescent="0.2">
      <c r="A176" s="70"/>
      <c r="B176" s="79">
        <v>25</v>
      </c>
      <c r="C176" s="127"/>
      <c r="D176" s="5"/>
      <c r="E176" s="128"/>
      <c r="F176" s="80">
        <f t="shared" si="23"/>
        <v>0</v>
      </c>
      <c r="G176" s="81"/>
      <c r="H176" s="129"/>
      <c r="I176" s="130"/>
      <c r="J176" s="82">
        <f t="shared" si="24"/>
        <v>0</v>
      </c>
      <c r="K176" s="7"/>
      <c r="L176" s="157"/>
      <c r="M176" s="157"/>
      <c r="N176" s="167"/>
      <c r="O176" s="167"/>
      <c r="P176" s="157"/>
      <c r="Q176" s="167"/>
      <c r="R176" s="143"/>
      <c r="S176" s="143"/>
      <c r="T176" s="143"/>
      <c r="U176" s="143"/>
      <c r="V176" s="143"/>
      <c r="W176" s="143"/>
      <c r="X176" s="143"/>
      <c r="Y176" s="143"/>
      <c r="Z176" s="143"/>
      <c r="AA176" s="143"/>
      <c r="AB176" s="143"/>
    </row>
    <row r="177" spans="1:28" x14ac:dyDescent="0.2">
      <c r="A177" s="70"/>
      <c r="B177" s="79">
        <v>26</v>
      </c>
      <c r="C177" s="127"/>
      <c r="D177" s="5"/>
      <c r="E177" s="128"/>
      <c r="F177" s="80">
        <f t="shared" si="23"/>
        <v>0</v>
      </c>
      <c r="G177" s="81"/>
      <c r="H177" s="129"/>
      <c r="I177" s="130"/>
      <c r="J177" s="82">
        <f t="shared" si="24"/>
        <v>0</v>
      </c>
      <c r="K177" s="7"/>
      <c r="L177" s="157"/>
      <c r="M177" s="157"/>
      <c r="N177" s="167"/>
      <c r="O177" s="167"/>
      <c r="P177" s="157"/>
      <c r="Q177" s="167"/>
      <c r="R177" s="143"/>
      <c r="S177" s="143"/>
      <c r="T177" s="143"/>
      <c r="U177" s="143"/>
      <c r="V177" s="143"/>
      <c r="W177" s="143"/>
      <c r="X177" s="143"/>
      <c r="Y177" s="143"/>
      <c r="Z177" s="143"/>
      <c r="AA177" s="143"/>
      <c r="AB177" s="143"/>
    </row>
    <row r="178" spans="1:28" x14ac:dyDescent="0.2">
      <c r="A178" s="70"/>
      <c r="B178" s="79">
        <v>27</v>
      </c>
      <c r="C178" s="127"/>
      <c r="D178" s="5"/>
      <c r="E178" s="128"/>
      <c r="F178" s="80">
        <f t="shared" si="23"/>
        <v>0</v>
      </c>
      <c r="G178" s="81"/>
      <c r="H178" s="129"/>
      <c r="I178" s="130"/>
      <c r="J178" s="82">
        <f t="shared" si="24"/>
        <v>0</v>
      </c>
      <c r="K178" s="7"/>
      <c r="L178" s="157"/>
      <c r="M178" s="157"/>
      <c r="N178" s="167"/>
      <c r="O178" s="167"/>
      <c r="P178" s="157"/>
      <c r="Q178" s="167"/>
      <c r="R178" s="143"/>
      <c r="S178" s="143"/>
      <c r="T178" s="143"/>
      <c r="U178" s="143"/>
      <c r="V178" s="143"/>
      <c r="W178" s="143"/>
      <c r="X178" s="143"/>
      <c r="Y178" s="143"/>
      <c r="Z178" s="143"/>
      <c r="AA178" s="143"/>
      <c r="AB178" s="143"/>
    </row>
    <row r="179" spans="1:28" x14ac:dyDescent="0.2">
      <c r="A179" s="70"/>
      <c r="B179" s="79">
        <v>28</v>
      </c>
      <c r="C179" s="127"/>
      <c r="D179" s="5"/>
      <c r="E179" s="128"/>
      <c r="F179" s="80">
        <f t="shared" si="23"/>
        <v>0</v>
      </c>
      <c r="G179" s="81"/>
      <c r="H179" s="129"/>
      <c r="I179" s="130"/>
      <c r="J179" s="82">
        <f t="shared" si="24"/>
        <v>0</v>
      </c>
      <c r="K179" s="7"/>
      <c r="L179" s="157"/>
      <c r="M179" s="157"/>
      <c r="N179" s="167"/>
      <c r="O179" s="167"/>
      <c r="P179" s="157"/>
      <c r="Q179" s="167"/>
      <c r="R179" s="143"/>
      <c r="S179" s="143"/>
      <c r="T179" s="143"/>
      <c r="U179" s="143"/>
      <c r="V179" s="143"/>
      <c r="W179" s="143"/>
      <c r="X179" s="143"/>
      <c r="Y179" s="143"/>
      <c r="Z179" s="143"/>
      <c r="AA179" s="143"/>
      <c r="AB179" s="143"/>
    </row>
    <row r="180" spans="1:28" x14ac:dyDescent="0.2">
      <c r="A180" s="70"/>
      <c r="B180" s="79">
        <v>29</v>
      </c>
      <c r="C180" s="127"/>
      <c r="D180" s="5"/>
      <c r="E180" s="128"/>
      <c r="F180" s="80">
        <f t="shared" si="23"/>
        <v>0</v>
      </c>
      <c r="G180" s="81"/>
      <c r="H180" s="129"/>
      <c r="I180" s="130"/>
      <c r="J180" s="82">
        <f t="shared" si="24"/>
        <v>0</v>
      </c>
      <c r="K180" s="7"/>
      <c r="L180" s="157"/>
      <c r="M180" s="157"/>
      <c r="N180" s="167"/>
      <c r="O180" s="167"/>
      <c r="P180" s="157"/>
      <c r="Q180" s="167"/>
      <c r="R180" s="143"/>
      <c r="S180" s="143"/>
      <c r="T180" s="143"/>
      <c r="U180" s="143"/>
      <c r="V180" s="143"/>
      <c r="W180" s="143"/>
      <c r="X180" s="143"/>
      <c r="Y180" s="143"/>
      <c r="Z180" s="143"/>
      <c r="AA180" s="143"/>
      <c r="AB180" s="143"/>
    </row>
    <row r="181" spans="1:28" x14ac:dyDescent="0.2">
      <c r="A181" s="70"/>
      <c r="B181" s="79">
        <v>30</v>
      </c>
      <c r="C181" s="127"/>
      <c r="D181" s="5"/>
      <c r="E181" s="128"/>
      <c r="F181" s="80">
        <f t="shared" si="23"/>
        <v>0</v>
      </c>
      <c r="G181" s="81"/>
      <c r="H181" s="129"/>
      <c r="I181" s="130"/>
      <c r="J181" s="82">
        <f t="shared" si="24"/>
        <v>0</v>
      </c>
      <c r="K181" s="7"/>
      <c r="L181" s="157"/>
      <c r="M181" s="157"/>
      <c r="N181" s="167"/>
      <c r="O181" s="167"/>
      <c r="P181" s="157"/>
      <c r="Q181" s="167"/>
      <c r="R181" s="143"/>
      <c r="S181" s="143"/>
      <c r="T181" s="143"/>
      <c r="U181" s="143"/>
      <c r="V181" s="143"/>
      <c r="W181" s="143"/>
      <c r="X181" s="143"/>
      <c r="Y181" s="143"/>
      <c r="Z181" s="143"/>
      <c r="AA181" s="143"/>
      <c r="AB181" s="143"/>
    </row>
    <row r="182" spans="1:28" x14ac:dyDescent="0.2">
      <c r="A182" s="70"/>
      <c r="B182" s="79">
        <v>31</v>
      </c>
      <c r="C182" s="127"/>
      <c r="D182" s="5"/>
      <c r="E182" s="128"/>
      <c r="F182" s="80">
        <f t="shared" si="23"/>
        <v>0</v>
      </c>
      <c r="G182" s="81"/>
      <c r="H182" s="129"/>
      <c r="I182" s="130"/>
      <c r="J182" s="82">
        <f t="shared" si="24"/>
        <v>0</v>
      </c>
      <c r="K182" s="7"/>
      <c r="L182" s="157"/>
      <c r="M182" s="157"/>
      <c r="N182" s="167"/>
      <c r="O182" s="167"/>
      <c r="P182" s="157"/>
      <c r="Q182" s="167"/>
      <c r="R182" s="143"/>
      <c r="S182" s="143"/>
      <c r="T182" s="143"/>
      <c r="U182" s="143"/>
      <c r="V182" s="143"/>
      <c r="W182" s="143"/>
      <c r="X182" s="143"/>
      <c r="Y182" s="143"/>
      <c r="Z182" s="143"/>
      <c r="AA182" s="143"/>
      <c r="AB182" s="143"/>
    </row>
    <row r="183" spans="1:28" x14ac:dyDescent="0.2">
      <c r="A183" s="70"/>
      <c r="B183" s="79">
        <v>32</v>
      </c>
      <c r="C183" s="127"/>
      <c r="D183" s="5"/>
      <c r="E183" s="128"/>
      <c r="F183" s="80">
        <f t="shared" si="23"/>
        <v>0</v>
      </c>
      <c r="G183" s="81"/>
      <c r="H183" s="129"/>
      <c r="I183" s="130"/>
      <c r="J183" s="82">
        <f t="shared" si="24"/>
        <v>0</v>
      </c>
      <c r="K183" s="7"/>
      <c r="L183" s="157"/>
      <c r="M183" s="157"/>
      <c r="N183" s="167"/>
      <c r="O183" s="167"/>
      <c r="P183" s="157"/>
      <c r="Q183" s="167"/>
      <c r="R183" s="143"/>
      <c r="S183" s="143"/>
      <c r="T183" s="143"/>
      <c r="U183" s="143"/>
      <c r="V183" s="143"/>
      <c r="W183" s="143"/>
      <c r="X183" s="143"/>
      <c r="Y183" s="143"/>
      <c r="Z183" s="143"/>
      <c r="AA183" s="143"/>
      <c r="AB183" s="143"/>
    </row>
    <row r="184" spans="1:28" x14ac:dyDescent="0.2">
      <c r="A184" s="70"/>
      <c r="B184" s="79">
        <v>33</v>
      </c>
      <c r="C184" s="127"/>
      <c r="D184" s="5"/>
      <c r="E184" s="128"/>
      <c r="F184" s="80">
        <f>IF((D184="Ground Lease"),J184,IF(D184="Deed/GL",(E184+J184),E184))</f>
        <v>0</v>
      </c>
      <c r="G184" s="81"/>
      <c r="H184" s="129"/>
      <c r="I184" s="130"/>
      <c r="J184" s="82">
        <f>IF(H184&gt;36,"INVALID",H184*I184)</f>
        <v>0</v>
      </c>
      <c r="L184" s="157"/>
      <c r="M184" s="157"/>
      <c r="N184" s="167"/>
      <c r="O184" s="167"/>
      <c r="P184" s="157"/>
      <c r="Q184" s="167"/>
      <c r="R184" s="143"/>
      <c r="S184" s="143"/>
      <c r="T184" s="143"/>
      <c r="U184" s="143"/>
      <c r="V184" s="143"/>
      <c r="W184" s="143"/>
      <c r="X184" s="143"/>
      <c r="Y184" s="143"/>
      <c r="Z184" s="143"/>
      <c r="AA184" s="143"/>
      <c r="AB184" s="143"/>
    </row>
    <row r="185" spans="1:28" x14ac:dyDescent="0.2">
      <c r="A185" s="70"/>
      <c r="B185" s="79">
        <v>34</v>
      </c>
      <c r="C185" s="127"/>
      <c r="D185" s="5"/>
      <c r="E185" s="128"/>
      <c r="F185" s="80">
        <f t="shared" ref="F185:F199" si="25">IF((D185="Ground Lease"),J185,IF(D185="Deed/GL",(E185+J185),E185))</f>
        <v>0</v>
      </c>
      <c r="G185" s="81"/>
      <c r="H185" s="129"/>
      <c r="I185" s="130"/>
      <c r="J185" s="82">
        <f t="shared" ref="J185:J199" si="26">IF(H185&gt;36,"INVALID",H185*I185)</f>
        <v>0</v>
      </c>
      <c r="K185" s="7"/>
      <c r="L185" s="157"/>
      <c r="M185" s="157"/>
      <c r="N185" s="167"/>
      <c r="O185" s="167"/>
      <c r="P185" s="157"/>
      <c r="Q185" s="167"/>
      <c r="R185" s="143"/>
      <c r="S185" s="143"/>
      <c r="T185" s="143"/>
      <c r="U185" s="143"/>
      <c r="V185" s="143"/>
      <c r="W185" s="143"/>
      <c r="X185" s="143"/>
      <c r="Y185" s="143"/>
      <c r="Z185" s="143"/>
      <c r="AA185" s="143"/>
      <c r="AB185" s="143"/>
    </row>
    <row r="186" spans="1:28" x14ac:dyDescent="0.2">
      <c r="A186" s="70"/>
      <c r="B186" s="79">
        <v>35</v>
      </c>
      <c r="C186" s="127"/>
      <c r="D186" s="5"/>
      <c r="E186" s="128"/>
      <c r="F186" s="80">
        <f t="shared" si="25"/>
        <v>0</v>
      </c>
      <c r="G186" s="81"/>
      <c r="H186" s="129"/>
      <c r="I186" s="130"/>
      <c r="J186" s="82">
        <f t="shared" si="26"/>
        <v>0</v>
      </c>
      <c r="K186" s="7"/>
      <c r="L186" s="157"/>
      <c r="M186" s="157"/>
      <c r="N186" s="167"/>
      <c r="O186" s="167"/>
      <c r="P186" s="157"/>
      <c r="Q186" s="167"/>
      <c r="R186" s="143"/>
      <c r="S186" s="143"/>
      <c r="T186" s="143"/>
      <c r="U186" s="143"/>
      <c r="V186" s="143"/>
      <c r="W186" s="143"/>
      <c r="X186" s="143"/>
      <c r="Y186" s="143"/>
      <c r="Z186" s="143"/>
      <c r="AA186" s="143"/>
      <c r="AB186" s="143"/>
    </row>
    <row r="187" spans="1:28" x14ac:dyDescent="0.2">
      <c r="A187" s="70"/>
      <c r="B187" s="79">
        <v>36</v>
      </c>
      <c r="C187" s="127"/>
      <c r="D187" s="5"/>
      <c r="E187" s="128"/>
      <c r="F187" s="80">
        <f t="shared" si="25"/>
        <v>0</v>
      </c>
      <c r="G187" s="81"/>
      <c r="H187" s="129"/>
      <c r="I187" s="130"/>
      <c r="J187" s="82">
        <f t="shared" si="26"/>
        <v>0</v>
      </c>
      <c r="K187" s="7"/>
      <c r="L187" s="157"/>
      <c r="M187" s="157"/>
      <c r="N187" s="167"/>
      <c r="O187" s="167"/>
      <c r="P187" s="157"/>
      <c r="Q187" s="167"/>
      <c r="R187" s="143"/>
      <c r="S187" s="143"/>
      <c r="T187" s="143"/>
      <c r="U187" s="143"/>
      <c r="V187" s="143"/>
      <c r="W187" s="143"/>
      <c r="X187" s="143"/>
      <c r="Y187" s="143"/>
      <c r="Z187" s="143"/>
      <c r="AA187" s="143"/>
      <c r="AB187" s="143"/>
    </row>
    <row r="188" spans="1:28" x14ac:dyDescent="0.2">
      <c r="A188" s="70"/>
      <c r="B188" s="79">
        <v>37</v>
      </c>
      <c r="C188" s="127"/>
      <c r="D188" s="5"/>
      <c r="E188" s="128"/>
      <c r="F188" s="80">
        <f t="shared" si="25"/>
        <v>0</v>
      </c>
      <c r="G188" s="81"/>
      <c r="H188" s="129"/>
      <c r="I188" s="130"/>
      <c r="J188" s="82">
        <f t="shared" si="26"/>
        <v>0</v>
      </c>
      <c r="K188" s="7"/>
      <c r="L188" s="157"/>
      <c r="M188" s="157"/>
      <c r="N188" s="167"/>
      <c r="O188" s="167"/>
      <c r="P188" s="157"/>
      <c r="Q188" s="167"/>
      <c r="R188" s="143"/>
      <c r="S188" s="143"/>
      <c r="T188" s="143"/>
      <c r="U188" s="143"/>
      <c r="V188" s="143"/>
      <c r="W188" s="143"/>
      <c r="X188" s="143"/>
      <c r="Y188" s="143"/>
      <c r="Z188" s="143"/>
      <c r="AA188" s="143"/>
      <c r="AB188" s="143"/>
    </row>
    <row r="189" spans="1:28" x14ac:dyDescent="0.2">
      <c r="A189" s="70"/>
      <c r="B189" s="79">
        <v>38</v>
      </c>
      <c r="C189" s="127"/>
      <c r="D189" s="5"/>
      <c r="E189" s="128"/>
      <c r="F189" s="80">
        <f t="shared" si="25"/>
        <v>0</v>
      </c>
      <c r="G189" s="81"/>
      <c r="H189" s="129"/>
      <c r="I189" s="130"/>
      <c r="J189" s="82">
        <f t="shared" si="26"/>
        <v>0</v>
      </c>
      <c r="K189" s="7"/>
      <c r="L189" s="157"/>
      <c r="M189" s="157"/>
      <c r="N189" s="167"/>
      <c r="O189" s="167"/>
      <c r="P189" s="157"/>
      <c r="Q189" s="167"/>
      <c r="R189" s="143"/>
      <c r="S189" s="143"/>
      <c r="T189" s="143"/>
      <c r="U189" s="143"/>
      <c r="V189" s="143"/>
      <c r="W189" s="143"/>
      <c r="X189" s="143"/>
      <c r="Y189" s="143"/>
      <c r="Z189" s="143"/>
      <c r="AA189" s="143"/>
      <c r="AB189" s="143"/>
    </row>
    <row r="190" spans="1:28" x14ac:dyDescent="0.2">
      <c r="A190" s="70"/>
      <c r="B190" s="79">
        <v>39</v>
      </c>
      <c r="C190" s="127"/>
      <c r="D190" s="5"/>
      <c r="E190" s="128"/>
      <c r="F190" s="80">
        <f t="shared" si="25"/>
        <v>0</v>
      </c>
      <c r="G190" s="81"/>
      <c r="H190" s="129"/>
      <c r="I190" s="130"/>
      <c r="J190" s="82">
        <f t="shared" si="26"/>
        <v>0</v>
      </c>
      <c r="K190" s="7"/>
      <c r="L190" s="157"/>
      <c r="M190" s="157"/>
      <c r="N190" s="167"/>
      <c r="O190" s="167"/>
      <c r="P190" s="157"/>
      <c r="Q190" s="167"/>
      <c r="R190" s="143"/>
      <c r="S190" s="143"/>
      <c r="T190" s="143"/>
      <c r="U190" s="143"/>
      <c r="V190" s="143"/>
      <c r="W190" s="143"/>
      <c r="X190" s="143"/>
      <c r="Y190" s="143"/>
      <c r="Z190" s="143"/>
      <c r="AA190" s="143"/>
      <c r="AB190" s="143"/>
    </row>
    <row r="191" spans="1:28" x14ac:dyDescent="0.2">
      <c r="A191" s="70"/>
      <c r="B191" s="79">
        <v>40</v>
      </c>
      <c r="C191" s="127"/>
      <c r="D191" s="5"/>
      <c r="E191" s="128"/>
      <c r="F191" s="80">
        <f t="shared" si="25"/>
        <v>0</v>
      </c>
      <c r="G191" s="81"/>
      <c r="H191" s="129"/>
      <c r="I191" s="130"/>
      <c r="J191" s="82">
        <f t="shared" si="26"/>
        <v>0</v>
      </c>
      <c r="K191" s="7"/>
      <c r="L191" s="157"/>
      <c r="M191" s="157"/>
      <c r="N191" s="167"/>
      <c r="O191" s="167"/>
      <c r="P191" s="157"/>
      <c r="Q191" s="167"/>
      <c r="R191" s="143"/>
      <c r="S191" s="143"/>
      <c r="T191" s="143"/>
      <c r="U191" s="143"/>
      <c r="V191" s="143"/>
      <c r="W191" s="143"/>
      <c r="X191" s="143"/>
      <c r="Y191" s="143"/>
      <c r="Z191" s="143"/>
      <c r="AA191" s="143"/>
      <c r="AB191" s="143"/>
    </row>
    <row r="192" spans="1:28" x14ac:dyDescent="0.2">
      <c r="A192" s="70"/>
      <c r="B192" s="79">
        <v>41</v>
      </c>
      <c r="C192" s="127"/>
      <c r="D192" s="5"/>
      <c r="E192" s="128"/>
      <c r="F192" s="80">
        <f t="shared" si="25"/>
        <v>0</v>
      </c>
      <c r="G192" s="81"/>
      <c r="H192" s="129"/>
      <c r="I192" s="130"/>
      <c r="J192" s="82">
        <f t="shared" si="26"/>
        <v>0</v>
      </c>
      <c r="K192" s="7"/>
      <c r="L192" s="157"/>
      <c r="M192" s="157"/>
      <c r="N192" s="167"/>
      <c r="O192" s="167"/>
      <c r="P192" s="157"/>
      <c r="Q192" s="167"/>
      <c r="R192" s="143"/>
      <c r="S192" s="143"/>
      <c r="T192" s="143"/>
      <c r="U192" s="143"/>
      <c r="V192" s="143"/>
      <c r="W192" s="143"/>
      <c r="X192" s="143"/>
      <c r="Y192" s="143"/>
      <c r="Z192" s="143"/>
      <c r="AA192" s="143"/>
      <c r="AB192" s="143"/>
    </row>
    <row r="193" spans="1:28" x14ac:dyDescent="0.2">
      <c r="A193" s="70"/>
      <c r="B193" s="79">
        <v>42</v>
      </c>
      <c r="C193" s="127"/>
      <c r="D193" s="5"/>
      <c r="E193" s="128"/>
      <c r="F193" s="80">
        <f t="shared" si="25"/>
        <v>0</v>
      </c>
      <c r="G193" s="81"/>
      <c r="H193" s="129"/>
      <c r="I193" s="130"/>
      <c r="J193" s="82">
        <f t="shared" si="26"/>
        <v>0</v>
      </c>
      <c r="K193" s="7"/>
      <c r="L193" s="157"/>
      <c r="M193" s="157"/>
      <c r="N193" s="167"/>
      <c r="O193" s="167"/>
      <c r="P193" s="157"/>
      <c r="Q193" s="167"/>
      <c r="R193" s="143"/>
      <c r="S193" s="143"/>
      <c r="T193" s="143"/>
      <c r="U193" s="143"/>
      <c r="V193" s="143"/>
      <c r="W193" s="143"/>
      <c r="X193" s="143"/>
      <c r="Y193" s="143"/>
      <c r="Z193" s="143"/>
      <c r="AA193" s="143"/>
      <c r="AB193" s="143"/>
    </row>
    <row r="194" spans="1:28" x14ac:dyDescent="0.2">
      <c r="A194" s="70"/>
      <c r="B194" s="79">
        <v>43</v>
      </c>
      <c r="C194" s="127"/>
      <c r="D194" s="5"/>
      <c r="E194" s="128"/>
      <c r="F194" s="80">
        <f t="shared" si="25"/>
        <v>0</v>
      </c>
      <c r="G194" s="81"/>
      <c r="H194" s="129"/>
      <c r="I194" s="130"/>
      <c r="J194" s="82">
        <f t="shared" si="26"/>
        <v>0</v>
      </c>
      <c r="K194" s="7"/>
      <c r="L194" s="157"/>
      <c r="M194" s="157"/>
      <c r="N194" s="167"/>
      <c r="O194" s="167"/>
      <c r="P194" s="157"/>
      <c r="Q194" s="167"/>
      <c r="R194" s="143"/>
      <c r="S194" s="143"/>
      <c r="T194" s="143"/>
      <c r="U194" s="143"/>
      <c r="V194" s="143"/>
      <c r="W194" s="143"/>
      <c r="X194" s="143"/>
      <c r="Y194" s="143"/>
      <c r="Z194" s="143"/>
      <c r="AA194" s="143"/>
      <c r="AB194" s="143"/>
    </row>
    <row r="195" spans="1:28" x14ac:dyDescent="0.2">
      <c r="A195" s="70"/>
      <c r="B195" s="79">
        <v>44</v>
      </c>
      <c r="C195" s="127"/>
      <c r="D195" s="5"/>
      <c r="E195" s="128"/>
      <c r="F195" s="80">
        <f t="shared" si="25"/>
        <v>0</v>
      </c>
      <c r="G195" s="81"/>
      <c r="H195" s="129"/>
      <c r="I195" s="130"/>
      <c r="J195" s="82">
        <f t="shared" si="26"/>
        <v>0</v>
      </c>
      <c r="K195" s="7"/>
      <c r="L195" s="157"/>
      <c r="M195" s="157"/>
      <c r="N195" s="167"/>
      <c r="O195" s="167"/>
      <c r="P195" s="157"/>
      <c r="Q195" s="167"/>
      <c r="R195" s="143"/>
      <c r="S195" s="143"/>
      <c r="T195" s="143"/>
      <c r="U195" s="143"/>
      <c r="V195" s="143"/>
      <c r="W195" s="143"/>
      <c r="X195" s="143"/>
      <c r="Y195" s="143"/>
      <c r="Z195" s="143"/>
      <c r="AA195" s="143"/>
      <c r="AB195" s="143"/>
    </row>
    <row r="196" spans="1:28" x14ac:dyDescent="0.2">
      <c r="A196" s="70"/>
      <c r="B196" s="79">
        <v>45</v>
      </c>
      <c r="C196" s="127"/>
      <c r="D196" s="5"/>
      <c r="E196" s="128"/>
      <c r="F196" s="80">
        <f t="shared" si="25"/>
        <v>0</v>
      </c>
      <c r="G196" s="81"/>
      <c r="H196" s="129"/>
      <c r="I196" s="130"/>
      <c r="J196" s="82">
        <f t="shared" si="26"/>
        <v>0</v>
      </c>
      <c r="K196" s="7"/>
      <c r="L196" s="157"/>
      <c r="M196" s="157"/>
      <c r="N196" s="167"/>
      <c r="O196" s="167"/>
      <c r="P196" s="157"/>
      <c r="Q196" s="167"/>
      <c r="R196" s="143"/>
      <c r="S196" s="143"/>
      <c r="T196" s="143"/>
      <c r="U196" s="143"/>
      <c r="V196" s="143"/>
      <c r="W196" s="143"/>
      <c r="X196" s="143"/>
      <c r="Y196" s="143"/>
      <c r="Z196" s="143"/>
      <c r="AA196" s="143"/>
      <c r="AB196" s="143"/>
    </row>
    <row r="197" spans="1:28" x14ac:dyDescent="0.2">
      <c r="A197" s="70"/>
      <c r="B197" s="79">
        <v>46</v>
      </c>
      <c r="C197" s="127"/>
      <c r="D197" s="5"/>
      <c r="E197" s="128"/>
      <c r="F197" s="80">
        <f t="shared" si="25"/>
        <v>0</v>
      </c>
      <c r="G197" s="81"/>
      <c r="H197" s="129"/>
      <c r="I197" s="130"/>
      <c r="J197" s="82">
        <f t="shared" si="26"/>
        <v>0</v>
      </c>
      <c r="K197" s="7"/>
      <c r="L197" s="157"/>
      <c r="M197" s="157"/>
      <c r="N197" s="167"/>
      <c r="O197" s="167"/>
      <c r="P197" s="157"/>
      <c r="Q197" s="167"/>
      <c r="R197" s="143"/>
      <c r="S197" s="143"/>
      <c r="T197" s="143"/>
      <c r="U197" s="143"/>
      <c r="V197" s="143"/>
      <c r="W197" s="143"/>
      <c r="X197" s="143"/>
      <c r="Y197" s="143"/>
      <c r="Z197" s="143"/>
      <c r="AA197" s="143"/>
      <c r="AB197" s="143"/>
    </row>
    <row r="198" spans="1:28" x14ac:dyDescent="0.2">
      <c r="A198" s="70"/>
      <c r="B198" s="79">
        <v>47</v>
      </c>
      <c r="C198" s="127"/>
      <c r="D198" s="5"/>
      <c r="E198" s="128"/>
      <c r="F198" s="80">
        <f t="shared" si="25"/>
        <v>0</v>
      </c>
      <c r="G198" s="81"/>
      <c r="H198" s="129"/>
      <c r="I198" s="130"/>
      <c r="J198" s="82">
        <f t="shared" si="26"/>
        <v>0</v>
      </c>
      <c r="K198" s="7"/>
      <c r="L198" s="157"/>
      <c r="M198" s="157"/>
      <c r="N198" s="167"/>
      <c r="O198" s="167"/>
      <c r="P198" s="157"/>
      <c r="Q198" s="167"/>
      <c r="R198" s="143"/>
      <c r="S198" s="143"/>
      <c r="T198" s="143"/>
      <c r="U198" s="143"/>
      <c r="V198" s="143"/>
      <c r="W198" s="143"/>
      <c r="X198" s="143"/>
      <c r="Y198" s="143"/>
      <c r="Z198" s="143"/>
      <c r="AA198" s="143"/>
      <c r="AB198" s="143"/>
    </row>
    <row r="199" spans="1:28" x14ac:dyDescent="0.2">
      <c r="A199" s="70"/>
      <c r="B199" s="79">
        <v>48</v>
      </c>
      <c r="C199" s="127"/>
      <c r="D199" s="5"/>
      <c r="E199" s="128"/>
      <c r="F199" s="80">
        <f t="shared" si="25"/>
        <v>0</v>
      </c>
      <c r="G199" s="81"/>
      <c r="H199" s="129"/>
      <c r="I199" s="130"/>
      <c r="J199" s="82">
        <f t="shared" si="26"/>
        <v>0</v>
      </c>
      <c r="K199" s="7"/>
      <c r="L199" s="157"/>
      <c r="M199" s="157"/>
      <c r="N199" s="167"/>
      <c r="O199" s="167"/>
      <c r="P199" s="157"/>
      <c r="Q199" s="167"/>
      <c r="R199" s="143"/>
      <c r="S199" s="143"/>
      <c r="T199" s="143"/>
      <c r="U199" s="143"/>
      <c r="V199" s="143"/>
      <c r="W199" s="143"/>
      <c r="X199" s="143"/>
      <c r="Y199" s="143"/>
      <c r="Z199" s="143"/>
      <c r="AA199" s="143"/>
      <c r="AB199" s="143"/>
    </row>
    <row r="200" spans="1:28" x14ac:dyDescent="0.2">
      <c r="A200" s="70"/>
      <c r="B200" s="79">
        <v>49</v>
      </c>
      <c r="C200" s="127"/>
      <c r="D200" s="5"/>
      <c r="E200" s="128"/>
      <c r="F200" s="80">
        <f>IF((D200="Ground Lease"),J200,IF(D200="Deed/GL",(E200+J200),E200))</f>
        <v>0</v>
      </c>
      <c r="G200" s="81"/>
      <c r="H200" s="129"/>
      <c r="I200" s="130"/>
      <c r="J200" s="82">
        <f>IF(H200&gt;36,"INVALID",H200*I200)</f>
        <v>0</v>
      </c>
      <c r="L200" s="157"/>
      <c r="M200" s="157"/>
      <c r="N200" s="167"/>
      <c r="O200" s="167"/>
      <c r="P200" s="157"/>
      <c r="Q200" s="167"/>
      <c r="R200" s="143"/>
      <c r="S200" s="143"/>
      <c r="T200" s="143"/>
      <c r="U200" s="143"/>
      <c r="V200" s="143"/>
      <c r="W200" s="143"/>
      <c r="X200" s="143"/>
      <c r="Y200" s="143"/>
      <c r="Z200" s="143"/>
      <c r="AA200" s="143"/>
      <c r="AB200" s="143"/>
    </row>
    <row r="201" spans="1:28" x14ac:dyDescent="0.2">
      <c r="A201" s="70"/>
      <c r="B201" s="79">
        <v>50</v>
      </c>
      <c r="C201" s="127"/>
      <c r="D201" s="5"/>
      <c r="E201" s="128"/>
      <c r="F201" s="80">
        <f t="shared" ref="F201:F215" si="27">IF((D201="Ground Lease"),J201,IF(D201="Deed/GL",(E201+J201),E201))</f>
        <v>0</v>
      </c>
      <c r="G201" s="81"/>
      <c r="H201" s="129"/>
      <c r="I201" s="130"/>
      <c r="J201" s="82">
        <f t="shared" ref="J201:J215" si="28">IF(H201&gt;36,"INVALID",H201*I201)</f>
        <v>0</v>
      </c>
      <c r="K201" s="7"/>
      <c r="L201" s="157"/>
      <c r="M201" s="157"/>
      <c r="N201" s="167"/>
      <c r="O201" s="167"/>
      <c r="P201" s="157"/>
      <c r="Q201" s="167"/>
      <c r="R201" s="143"/>
      <c r="S201" s="143"/>
      <c r="T201" s="143"/>
      <c r="U201" s="143"/>
      <c r="V201" s="143"/>
      <c r="W201" s="143"/>
      <c r="X201" s="143"/>
      <c r="Y201" s="143"/>
      <c r="Z201" s="143"/>
      <c r="AA201" s="143"/>
      <c r="AB201" s="143"/>
    </row>
    <row r="202" spans="1:28" x14ac:dyDescent="0.2">
      <c r="A202" s="70"/>
      <c r="B202" s="79">
        <v>51</v>
      </c>
      <c r="C202" s="127"/>
      <c r="D202" s="5"/>
      <c r="E202" s="128"/>
      <c r="F202" s="80">
        <f t="shared" si="27"/>
        <v>0</v>
      </c>
      <c r="G202" s="81"/>
      <c r="H202" s="129"/>
      <c r="I202" s="130"/>
      <c r="J202" s="82">
        <f t="shared" si="28"/>
        <v>0</v>
      </c>
      <c r="K202" s="7"/>
      <c r="L202" s="157"/>
      <c r="M202" s="157"/>
      <c r="N202" s="167"/>
      <c r="O202" s="167"/>
      <c r="P202" s="157"/>
      <c r="Q202" s="167"/>
      <c r="R202" s="143"/>
      <c r="S202" s="143"/>
      <c r="T202" s="143"/>
      <c r="U202" s="143"/>
      <c r="V202" s="143"/>
      <c r="W202" s="143"/>
      <c r="X202" s="143"/>
      <c r="Y202" s="143"/>
      <c r="Z202" s="143"/>
      <c r="AA202" s="143"/>
      <c r="AB202" s="143"/>
    </row>
    <row r="203" spans="1:28" x14ac:dyDescent="0.2">
      <c r="A203" s="70"/>
      <c r="B203" s="79">
        <v>52</v>
      </c>
      <c r="C203" s="127"/>
      <c r="D203" s="5"/>
      <c r="E203" s="128"/>
      <c r="F203" s="80">
        <f t="shared" si="27"/>
        <v>0</v>
      </c>
      <c r="G203" s="81"/>
      <c r="H203" s="129"/>
      <c r="I203" s="130"/>
      <c r="J203" s="82">
        <f t="shared" si="28"/>
        <v>0</v>
      </c>
      <c r="K203" s="7"/>
      <c r="L203" s="157"/>
      <c r="M203" s="157"/>
      <c r="N203" s="167"/>
      <c r="O203" s="167"/>
      <c r="P203" s="157"/>
      <c r="Q203" s="167"/>
      <c r="R203" s="143"/>
      <c r="S203" s="143"/>
      <c r="T203" s="143"/>
      <c r="U203" s="143"/>
      <c r="V203" s="143"/>
      <c r="W203" s="143"/>
      <c r="X203" s="143"/>
      <c r="Y203" s="143"/>
      <c r="Z203" s="143"/>
      <c r="AA203" s="143"/>
      <c r="AB203" s="143"/>
    </row>
    <row r="204" spans="1:28" x14ac:dyDescent="0.2">
      <c r="A204" s="70"/>
      <c r="B204" s="79">
        <v>53</v>
      </c>
      <c r="C204" s="127"/>
      <c r="D204" s="5"/>
      <c r="E204" s="128"/>
      <c r="F204" s="80">
        <f t="shared" si="27"/>
        <v>0</v>
      </c>
      <c r="G204" s="81"/>
      <c r="H204" s="129"/>
      <c r="I204" s="130"/>
      <c r="J204" s="82">
        <f t="shared" si="28"/>
        <v>0</v>
      </c>
      <c r="K204" s="7"/>
      <c r="L204" s="157"/>
      <c r="M204" s="157"/>
      <c r="N204" s="167"/>
      <c r="O204" s="167"/>
      <c r="P204" s="157"/>
      <c r="Q204" s="167"/>
      <c r="R204" s="143"/>
      <c r="S204" s="143"/>
      <c r="T204" s="143"/>
      <c r="U204" s="143"/>
      <c r="V204" s="143"/>
      <c r="W204" s="143"/>
      <c r="X204" s="143"/>
      <c r="Y204" s="143"/>
      <c r="Z204" s="143"/>
      <c r="AA204" s="143"/>
      <c r="AB204" s="143"/>
    </row>
    <row r="205" spans="1:28" x14ac:dyDescent="0.2">
      <c r="A205" s="70"/>
      <c r="B205" s="79">
        <v>54</v>
      </c>
      <c r="C205" s="127"/>
      <c r="D205" s="5"/>
      <c r="E205" s="128"/>
      <c r="F205" s="80">
        <f t="shared" si="27"/>
        <v>0</v>
      </c>
      <c r="G205" s="81"/>
      <c r="H205" s="129"/>
      <c r="I205" s="130"/>
      <c r="J205" s="82">
        <f t="shared" si="28"/>
        <v>0</v>
      </c>
      <c r="K205" s="7"/>
      <c r="L205" s="157"/>
      <c r="M205" s="157"/>
      <c r="N205" s="167"/>
      <c r="O205" s="167"/>
      <c r="P205" s="157"/>
      <c r="Q205" s="167"/>
      <c r="R205" s="143"/>
      <c r="S205" s="143"/>
      <c r="T205" s="143"/>
      <c r="U205" s="143"/>
      <c r="V205" s="143"/>
      <c r="W205" s="143"/>
      <c r="X205" s="143"/>
      <c r="Y205" s="143"/>
      <c r="Z205" s="143"/>
      <c r="AA205" s="143"/>
      <c r="AB205" s="143"/>
    </row>
    <row r="206" spans="1:28" x14ac:dyDescent="0.2">
      <c r="A206" s="70"/>
      <c r="B206" s="79">
        <v>55</v>
      </c>
      <c r="C206" s="127"/>
      <c r="D206" s="5"/>
      <c r="E206" s="128"/>
      <c r="F206" s="80">
        <f t="shared" si="27"/>
        <v>0</v>
      </c>
      <c r="G206" s="81"/>
      <c r="H206" s="129"/>
      <c r="I206" s="130"/>
      <c r="J206" s="82">
        <f t="shared" si="28"/>
        <v>0</v>
      </c>
      <c r="K206" s="7"/>
      <c r="L206" s="157"/>
      <c r="M206" s="157"/>
      <c r="N206" s="167"/>
      <c r="O206" s="167"/>
      <c r="P206" s="157"/>
      <c r="Q206" s="167"/>
      <c r="R206" s="143"/>
      <c r="S206" s="143"/>
      <c r="T206" s="143"/>
      <c r="U206" s="143"/>
      <c r="V206" s="143"/>
      <c r="W206" s="143"/>
      <c r="X206" s="143"/>
      <c r="Y206" s="143"/>
      <c r="Z206" s="143"/>
      <c r="AA206" s="143"/>
      <c r="AB206" s="143"/>
    </row>
    <row r="207" spans="1:28" x14ac:dyDescent="0.2">
      <c r="A207" s="70"/>
      <c r="B207" s="79">
        <v>56</v>
      </c>
      <c r="C207" s="127"/>
      <c r="D207" s="5"/>
      <c r="E207" s="128"/>
      <c r="F207" s="80">
        <f t="shared" si="27"/>
        <v>0</v>
      </c>
      <c r="G207" s="81"/>
      <c r="H207" s="129"/>
      <c r="I207" s="130"/>
      <c r="J207" s="82">
        <f t="shared" si="28"/>
        <v>0</v>
      </c>
      <c r="K207" s="7"/>
      <c r="L207" s="157"/>
      <c r="M207" s="157"/>
      <c r="N207" s="167"/>
      <c r="O207" s="167"/>
      <c r="P207" s="157"/>
      <c r="Q207" s="167"/>
      <c r="R207" s="143"/>
      <c r="S207" s="143"/>
      <c r="T207" s="143"/>
      <c r="U207" s="143"/>
      <c r="V207" s="143"/>
      <c r="W207" s="143"/>
      <c r="X207" s="143"/>
      <c r="Y207" s="143"/>
      <c r="Z207" s="143"/>
      <c r="AA207" s="143"/>
      <c r="AB207" s="143"/>
    </row>
    <row r="208" spans="1:28" x14ac:dyDescent="0.2">
      <c r="A208" s="70"/>
      <c r="B208" s="79">
        <v>57</v>
      </c>
      <c r="C208" s="127"/>
      <c r="D208" s="5"/>
      <c r="E208" s="128"/>
      <c r="F208" s="80">
        <f t="shared" si="27"/>
        <v>0</v>
      </c>
      <c r="G208" s="81"/>
      <c r="H208" s="129"/>
      <c r="I208" s="130"/>
      <c r="J208" s="82">
        <f t="shared" si="28"/>
        <v>0</v>
      </c>
      <c r="K208" s="7"/>
      <c r="L208" s="157"/>
      <c r="M208" s="157"/>
      <c r="N208" s="167"/>
      <c r="O208" s="167"/>
      <c r="P208" s="157"/>
      <c r="Q208" s="167"/>
      <c r="R208" s="143"/>
      <c r="S208" s="143"/>
      <c r="T208" s="143"/>
      <c r="U208" s="143"/>
      <c r="V208" s="143"/>
      <c r="W208" s="143"/>
      <c r="X208" s="143"/>
      <c r="Y208" s="143"/>
      <c r="Z208" s="143"/>
      <c r="AA208" s="143"/>
      <c r="AB208" s="143"/>
    </row>
    <row r="209" spans="1:28" x14ac:dyDescent="0.2">
      <c r="A209" s="70"/>
      <c r="B209" s="79">
        <v>58</v>
      </c>
      <c r="C209" s="127"/>
      <c r="D209" s="5"/>
      <c r="E209" s="128"/>
      <c r="F209" s="80">
        <f t="shared" si="27"/>
        <v>0</v>
      </c>
      <c r="G209" s="81"/>
      <c r="H209" s="129"/>
      <c r="I209" s="130"/>
      <c r="J209" s="82">
        <f t="shared" si="28"/>
        <v>0</v>
      </c>
      <c r="K209" s="7"/>
      <c r="L209" s="157"/>
      <c r="M209" s="157"/>
      <c r="N209" s="167"/>
      <c r="O209" s="167"/>
      <c r="P209" s="157"/>
      <c r="Q209" s="167"/>
      <c r="R209" s="143"/>
      <c r="S209" s="143"/>
      <c r="T209" s="143"/>
      <c r="U209" s="143"/>
      <c r="V209" s="143"/>
      <c r="W209" s="143"/>
      <c r="X209" s="143"/>
      <c r="Y209" s="143"/>
      <c r="Z209" s="143"/>
      <c r="AA209" s="143"/>
      <c r="AB209" s="143"/>
    </row>
    <row r="210" spans="1:28" x14ac:dyDescent="0.2">
      <c r="A210" s="70"/>
      <c r="B210" s="79">
        <v>59</v>
      </c>
      <c r="C210" s="127"/>
      <c r="D210" s="5"/>
      <c r="E210" s="128"/>
      <c r="F210" s="80">
        <f t="shared" si="27"/>
        <v>0</v>
      </c>
      <c r="G210" s="81"/>
      <c r="H210" s="129"/>
      <c r="I210" s="130"/>
      <c r="J210" s="82">
        <f t="shared" si="28"/>
        <v>0</v>
      </c>
      <c r="K210" s="7"/>
      <c r="L210" s="157"/>
      <c r="M210" s="157"/>
      <c r="N210" s="167"/>
      <c r="O210" s="167"/>
      <c r="P210" s="157"/>
      <c r="Q210" s="167"/>
      <c r="R210" s="143"/>
      <c r="S210" s="143"/>
      <c r="T210" s="143"/>
      <c r="U210" s="143"/>
      <c r="V210" s="143"/>
      <c r="W210" s="143"/>
      <c r="X210" s="143"/>
      <c r="Y210" s="143"/>
      <c r="Z210" s="143"/>
      <c r="AA210" s="143"/>
      <c r="AB210" s="143"/>
    </row>
    <row r="211" spans="1:28" x14ac:dyDescent="0.2">
      <c r="A211" s="70"/>
      <c r="B211" s="79">
        <v>60</v>
      </c>
      <c r="C211" s="127"/>
      <c r="D211" s="5"/>
      <c r="E211" s="128"/>
      <c r="F211" s="80">
        <f t="shared" si="27"/>
        <v>0</v>
      </c>
      <c r="G211" s="81"/>
      <c r="H211" s="129"/>
      <c r="I211" s="130"/>
      <c r="J211" s="82">
        <f t="shared" si="28"/>
        <v>0</v>
      </c>
      <c r="K211" s="7"/>
      <c r="L211" s="157"/>
      <c r="M211" s="157"/>
      <c r="N211" s="167"/>
      <c r="O211" s="167"/>
      <c r="P211" s="157"/>
      <c r="Q211" s="167"/>
      <c r="R211" s="143"/>
      <c r="S211" s="143"/>
      <c r="T211" s="143"/>
      <c r="U211" s="143"/>
      <c r="V211" s="143"/>
      <c r="W211" s="143"/>
      <c r="X211" s="143"/>
      <c r="Y211" s="143"/>
      <c r="Z211" s="143"/>
      <c r="AA211" s="143"/>
      <c r="AB211" s="143"/>
    </row>
    <row r="212" spans="1:28" x14ac:dyDescent="0.2">
      <c r="A212" s="70"/>
      <c r="B212" s="79">
        <v>61</v>
      </c>
      <c r="C212" s="127"/>
      <c r="D212" s="5"/>
      <c r="E212" s="128"/>
      <c r="F212" s="80">
        <f t="shared" si="27"/>
        <v>0</v>
      </c>
      <c r="G212" s="81"/>
      <c r="H212" s="129"/>
      <c r="I212" s="130"/>
      <c r="J212" s="82">
        <f t="shared" si="28"/>
        <v>0</v>
      </c>
      <c r="K212" s="7"/>
      <c r="L212" s="157"/>
      <c r="M212" s="157"/>
      <c r="N212" s="167"/>
      <c r="O212" s="167"/>
      <c r="P212" s="157"/>
      <c r="Q212" s="167"/>
      <c r="R212" s="143"/>
      <c r="S212" s="143"/>
      <c r="T212" s="143"/>
      <c r="U212" s="143"/>
      <c r="V212" s="143"/>
      <c r="W212" s="143"/>
      <c r="X212" s="143"/>
      <c r="Y212" s="143"/>
      <c r="Z212" s="143"/>
      <c r="AA212" s="143"/>
      <c r="AB212" s="143"/>
    </row>
    <row r="213" spans="1:28" x14ac:dyDescent="0.2">
      <c r="A213" s="70"/>
      <c r="B213" s="79">
        <v>62</v>
      </c>
      <c r="C213" s="127"/>
      <c r="D213" s="5"/>
      <c r="E213" s="128"/>
      <c r="F213" s="80">
        <f t="shared" si="27"/>
        <v>0</v>
      </c>
      <c r="G213" s="81"/>
      <c r="H213" s="129"/>
      <c r="I213" s="130"/>
      <c r="J213" s="82">
        <f t="shared" si="28"/>
        <v>0</v>
      </c>
      <c r="K213" s="7"/>
      <c r="L213" s="157"/>
      <c r="M213" s="157"/>
      <c r="N213" s="167"/>
      <c r="O213" s="167"/>
      <c r="P213" s="157"/>
      <c r="Q213" s="167"/>
      <c r="R213" s="143"/>
      <c r="S213" s="143"/>
      <c r="T213" s="143"/>
      <c r="U213" s="143"/>
      <c r="V213" s="143"/>
      <c r="W213" s="143"/>
      <c r="X213" s="143"/>
      <c r="Y213" s="143"/>
      <c r="Z213" s="143"/>
      <c r="AA213" s="143"/>
      <c r="AB213" s="143"/>
    </row>
    <row r="214" spans="1:28" x14ac:dyDescent="0.2">
      <c r="A214" s="70"/>
      <c r="B214" s="79">
        <v>63</v>
      </c>
      <c r="C214" s="127"/>
      <c r="D214" s="5"/>
      <c r="E214" s="128"/>
      <c r="F214" s="80">
        <f t="shared" si="27"/>
        <v>0</v>
      </c>
      <c r="G214" s="81"/>
      <c r="H214" s="129"/>
      <c r="I214" s="130"/>
      <c r="J214" s="82">
        <f t="shared" si="28"/>
        <v>0</v>
      </c>
      <c r="K214" s="7"/>
      <c r="L214" s="157"/>
      <c r="M214" s="157"/>
      <c r="N214" s="167"/>
      <c r="O214" s="167"/>
      <c r="P214" s="157"/>
      <c r="Q214" s="167"/>
      <c r="R214" s="143"/>
      <c r="S214" s="143"/>
      <c r="T214" s="143"/>
      <c r="U214" s="143"/>
      <c r="V214" s="143"/>
      <c r="W214" s="143"/>
      <c r="X214" s="143"/>
      <c r="Y214" s="143"/>
      <c r="Z214" s="143"/>
      <c r="AA214" s="143"/>
      <c r="AB214" s="143"/>
    </row>
    <row r="215" spans="1:28" x14ac:dyDescent="0.2">
      <c r="A215" s="70"/>
      <c r="B215" s="79">
        <v>64</v>
      </c>
      <c r="C215" s="127"/>
      <c r="D215" s="5"/>
      <c r="E215" s="128"/>
      <c r="F215" s="80">
        <f t="shared" si="27"/>
        <v>0</v>
      </c>
      <c r="G215" s="81"/>
      <c r="H215" s="129"/>
      <c r="I215" s="130"/>
      <c r="J215" s="82">
        <f t="shared" si="28"/>
        <v>0</v>
      </c>
      <c r="K215" s="7"/>
      <c r="L215" s="157"/>
      <c r="M215" s="157"/>
      <c r="N215" s="167"/>
      <c r="O215" s="167"/>
      <c r="P215" s="157"/>
      <c r="Q215" s="167"/>
      <c r="R215" s="143"/>
      <c r="S215" s="143"/>
      <c r="T215" s="143"/>
      <c r="U215" s="143"/>
      <c r="V215" s="143"/>
      <c r="W215" s="143"/>
      <c r="X215" s="143"/>
      <c r="Y215" s="143"/>
      <c r="Z215" s="143"/>
      <c r="AA215" s="143"/>
      <c r="AB215" s="143"/>
    </row>
    <row r="216" spans="1:28" x14ac:dyDescent="0.2">
      <c r="A216" s="70"/>
      <c r="B216" s="79">
        <v>65</v>
      </c>
      <c r="C216" s="127"/>
      <c r="D216" s="5"/>
      <c r="E216" s="128"/>
      <c r="F216" s="80">
        <f>IF((D216="Ground Lease"),J216,IF(D216="Deed/GL",(E216+J216),E216))</f>
        <v>0</v>
      </c>
      <c r="G216" s="81"/>
      <c r="H216" s="129"/>
      <c r="I216" s="130"/>
      <c r="J216" s="82">
        <f>IF(H216&gt;36,"INVALID",H216*I216)</f>
        <v>0</v>
      </c>
      <c r="L216" s="157"/>
      <c r="M216" s="157"/>
      <c r="N216" s="167"/>
      <c r="O216" s="167"/>
      <c r="P216" s="157"/>
      <c r="Q216" s="167"/>
      <c r="R216" s="143"/>
      <c r="S216" s="143"/>
      <c r="T216" s="143"/>
      <c r="U216" s="143"/>
      <c r="V216" s="143"/>
      <c r="W216" s="143"/>
      <c r="X216" s="143"/>
      <c r="Y216" s="143"/>
      <c r="Z216" s="143"/>
      <c r="AA216" s="143"/>
      <c r="AB216" s="143"/>
    </row>
    <row r="217" spans="1:28" x14ac:dyDescent="0.2">
      <c r="A217" s="70"/>
      <c r="B217" s="79">
        <v>66</v>
      </c>
      <c r="C217" s="127"/>
      <c r="D217" s="5"/>
      <c r="E217" s="128"/>
      <c r="F217" s="80">
        <f t="shared" ref="F217:F231" si="29">IF((D217="Ground Lease"),J217,IF(D217="Deed/GL",(E217+J217),E217))</f>
        <v>0</v>
      </c>
      <c r="G217" s="81"/>
      <c r="H217" s="129"/>
      <c r="I217" s="130"/>
      <c r="J217" s="82">
        <f t="shared" ref="J217:J231" si="30">IF(H217&gt;36,"INVALID",H217*I217)</f>
        <v>0</v>
      </c>
      <c r="K217" s="7"/>
      <c r="L217" s="157"/>
      <c r="M217" s="157"/>
      <c r="N217" s="167"/>
      <c r="O217" s="167"/>
      <c r="P217" s="157"/>
      <c r="Q217" s="167"/>
      <c r="R217" s="143"/>
      <c r="S217" s="143"/>
      <c r="T217" s="143"/>
      <c r="U217" s="143"/>
      <c r="V217" s="143"/>
      <c r="W217" s="143"/>
      <c r="X217" s="143"/>
      <c r="Y217" s="143"/>
      <c r="Z217" s="143"/>
      <c r="AA217" s="143"/>
      <c r="AB217" s="143"/>
    </row>
    <row r="218" spans="1:28" x14ac:dyDescent="0.2">
      <c r="A218" s="70"/>
      <c r="B218" s="79">
        <v>67</v>
      </c>
      <c r="C218" s="127"/>
      <c r="D218" s="5"/>
      <c r="E218" s="128"/>
      <c r="F218" s="80">
        <f t="shared" si="29"/>
        <v>0</v>
      </c>
      <c r="G218" s="81"/>
      <c r="H218" s="129"/>
      <c r="I218" s="130"/>
      <c r="J218" s="82">
        <f t="shared" si="30"/>
        <v>0</v>
      </c>
      <c r="K218" s="7"/>
      <c r="L218" s="157"/>
      <c r="M218" s="157"/>
      <c r="N218" s="167"/>
      <c r="O218" s="167"/>
      <c r="P218" s="157"/>
      <c r="Q218" s="167"/>
      <c r="R218" s="143"/>
      <c r="S218" s="143"/>
      <c r="T218" s="143"/>
      <c r="U218" s="143"/>
      <c r="V218" s="143"/>
      <c r="W218" s="143"/>
      <c r="X218" s="143"/>
      <c r="Y218" s="143"/>
      <c r="Z218" s="143"/>
      <c r="AA218" s="143"/>
      <c r="AB218" s="143"/>
    </row>
    <row r="219" spans="1:28" x14ac:dyDescent="0.2">
      <c r="A219" s="70"/>
      <c r="B219" s="79">
        <v>68</v>
      </c>
      <c r="C219" s="127"/>
      <c r="D219" s="5"/>
      <c r="E219" s="128"/>
      <c r="F219" s="80">
        <f t="shared" si="29"/>
        <v>0</v>
      </c>
      <c r="G219" s="81"/>
      <c r="H219" s="129"/>
      <c r="I219" s="130"/>
      <c r="J219" s="82">
        <f t="shared" si="30"/>
        <v>0</v>
      </c>
      <c r="K219" s="7"/>
      <c r="L219" s="157"/>
      <c r="M219" s="157"/>
      <c r="N219" s="167"/>
      <c r="O219" s="167"/>
      <c r="P219" s="157"/>
      <c r="Q219" s="167"/>
      <c r="R219" s="143"/>
      <c r="S219" s="143"/>
      <c r="T219" s="143"/>
      <c r="U219" s="143"/>
      <c r="V219" s="143"/>
      <c r="W219" s="143"/>
      <c r="X219" s="143"/>
      <c r="Y219" s="143"/>
      <c r="Z219" s="143"/>
      <c r="AA219" s="143"/>
      <c r="AB219" s="143"/>
    </row>
    <row r="220" spans="1:28" x14ac:dyDescent="0.2">
      <c r="A220" s="70"/>
      <c r="B220" s="79">
        <v>69</v>
      </c>
      <c r="C220" s="127"/>
      <c r="D220" s="5"/>
      <c r="E220" s="128"/>
      <c r="F220" s="80">
        <f t="shared" si="29"/>
        <v>0</v>
      </c>
      <c r="G220" s="81"/>
      <c r="H220" s="129"/>
      <c r="I220" s="130"/>
      <c r="J220" s="82">
        <f t="shared" si="30"/>
        <v>0</v>
      </c>
      <c r="K220" s="7"/>
      <c r="L220" s="157"/>
      <c r="M220" s="157"/>
      <c r="N220" s="167"/>
      <c r="O220" s="167"/>
      <c r="P220" s="157"/>
      <c r="Q220" s="167"/>
      <c r="R220" s="143"/>
      <c r="S220" s="143"/>
      <c r="T220" s="143"/>
      <c r="U220" s="143"/>
      <c r="V220" s="143"/>
      <c r="W220" s="143"/>
      <c r="X220" s="143"/>
      <c r="Y220" s="143"/>
      <c r="Z220" s="143"/>
      <c r="AA220" s="143"/>
      <c r="AB220" s="143"/>
    </row>
    <row r="221" spans="1:28" x14ac:dyDescent="0.2">
      <c r="A221" s="70"/>
      <c r="B221" s="79">
        <v>70</v>
      </c>
      <c r="C221" s="127"/>
      <c r="D221" s="5"/>
      <c r="E221" s="128"/>
      <c r="F221" s="80">
        <f t="shared" si="29"/>
        <v>0</v>
      </c>
      <c r="G221" s="81"/>
      <c r="H221" s="129"/>
      <c r="I221" s="130"/>
      <c r="J221" s="82">
        <f t="shared" si="30"/>
        <v>0</v>
      </c>
      <c r="K221" s="7"/>
      <c r="L221" s="157"/>
      <c r="M221" s="157"/>
      <c r="N221" s="167"/>
      <c r="O221" s="167"/>
      <c r="P221" s="157"/>
      <c r="Q221" s="167"/>
      <c r="R221" s="143"/>
      <c r="S221" s="143"/>
      <c r="T221" s="143"/>
      <c r="U221" s="143"/>
      <c r="V221" s="143"/>
      <c r="W221" s="143"/>
      <c r="X221" s="143"/>
      <c r="Y221" s="143"/>
      <c r="Z221" s="143"/>
      <c r="AA221" s="143"/>
      <c r="AB221" s="143"/>
    </row>
    <row r="222" spans="1:28" x14ac:dyDescent="0.2">
      <c r="A222" s="70"/>
      <c r="B222" s="79">
        <v>71</v>
      </c>
      <c r="C222" s="127"/>
      <c r="D222" s="5"/>
      <c r="E222" s="128"/>
      <c r="F222" s="80">
        <f t="shared" si="29"/>
        <v>0</v>
      </c>
      <c r="G222" s="81"/>
      <c r="H222" s="129"/>
      <c r="I222" s="130"/>
      <c r="J222" s="82">
        <f t="shared" si="30"/>
        <v>0</v>
      </c>
      <c r="K222" s="7"/>
      <c r="L222" s="157"/>
      <c r="M222" s="157"/>
      <c r="N222" s="167"/>
      <c r="O222" s="167"/>
      <c r="P222" s="157"/>
      <c r="Q222" s="167"/>
      <c r="R222" s="143"/>
      <c r="S222" s="143"/>
      <c r="T222" s="143"/>
      <c r="U222" s="143"/>
      <c r="V222" s="143"/>
      <c r="W222" s="143"/>
      <c r="X222" s="143"/>
      <c r="Y222" s="143"/>
      <c r="Z222" s="143"/>
      <c r="AA222" s="143"/>
      <c r="AB222" s="143"/>
    </row>
    <row r="223" spans="1:28" x14ac:dyDescent="0.2">
      <c r="A223" s="70"/>
      <c r="B223" s="79">
        <v>72</v>
      </c>
      <c r="C223" s="127"/>
      <c r="D223" s="5"/>
      <c r="E223" s="128"/>
      <c r="F223" s="80">
        <f t="shared" si="29"/>
        <v>0</v>
      </c>
      <c r="G223" s="81"/>
      <c r="H223" s="129"/>
      <c r="I223" s="130"/>
      <c r="J223" s="82">
        <f t="shared" si="30"/>
        <v>0</v>
      </c>
      <c r="K223" s="7"/>
      <c r="L223" s="157"/>
      <c r="M223" s="157"/>
      <c r="N223" s="167"/>
      <c r="O223" s="167"/>
      <c r="P223" s="157"/>
      <c r="Q223" s="167"/>
      <c r="R223" s="143"/>
      <c r="S223" s="143"/>
      <c r="T223" s="143"/>
      <c r="U223" s="143"/>
      <c r="V223" s="143"/>
      <c r="W223" s="143"/>
      <c r="X223" s="143"/>
      <c r="Y223" s="143"/>
      <c r="Z223" s="143"/>
      <c r="AA223" s="143"/>
      <c r="AB223" s="143"/>
    </row>
    <row r="224" spans="1:28" x14ac:dyDescent="0.2">
      <c r="A224" s="70"/>
      <c r="B224" s="79">
        <v>73</v>
      </c>
      <c r="C224" s="127"/>
      <c r="D224" s="5"/>
      <c r="E224" s="128"/>
      <c r="F224" s="80">
        <f t="shared" si="29"/>
        <v>0</v>
      </c>
      <c r="G224" s="81"/>
      <c r="H224" s="129"/>
      <c r="I224" s="130"/>
      <c r="J224" s="82">
        <f t="shared" si="30"/>
        <v>0</v>
      </c>
      <c r="K224" s="7"/>
      <c r="L224" s="157"/>
      <c r="M224" s="157"/>
      <c r="N224" s="167"/>
      <c r="O224" s="167"/>
      <c r="P224" s="157"/>
      <c r="Q224" s="167"/>
      <c r="R224" s="143"/>
      <c r="S224" s="143"/>
      <c r="T224" s="143"/>
      <c r="U224" s="143"/>
      <c r="V224" s="143"/>
      <c r="W224" s="143"/>
      <c r="X224" s="143"/>
      <c r="Y224" s="143"/>
      <c r="Z224" s="143"/>
      <c r="AA224" s="143"/>
      <c r="AB224" s="143"/>
    </row>
    <row r="225" spans="1:28" x14ac:dyDescent="0.2">
      <c r="A225" s="70"/>
      <c r="B225" s="79">
        <v>74</v>
      </c>
      <c r="C225" s="127"/>
      <c r="D225" s="5"/>
      <c r="E225" s="128"/>
      <c r="F225" s="80">
        <f t="shared" si="29"/>
        <v>0</v>
      </c>
      <c r="G225" s="81"/>
      <c r="H225" s="129"/>
      <c r="I225" s="130"/>
      <c r="J225" s="82">
        <f t="shared" si="30"/>
        <v>0</v>
      </c>
      <c r="K225" s="7"/>
      <c r="L225" s="157"/>
      <c r="M225" s="157"/>
      <c r="N225" s="167"/>
      <c r="O225" s="167"/>
      <c r="P225" s="157"/>
      <c r="Q225" s="167"/>
      <c r="R225" s="143"/>
      <c r="S225" s="143"/>
      <c r="T225" s="143"/>
      <c r="U225" s="143"/>
      <c r="V225" s="143"/>
      <c r="W225" s="143"/>
      <c r="X225" s="143"/>
      <c r="Y225" s="143"/>
      <c r="Z225" s="143"/>
      <c r="AA225" s="143"/>
      <c r="AB225" s="143"/>
    </row>
    <row r="226" spans="1:28" x14ac:dyDescent="0.2">
      <c r="A226" s="70"/>
      <c r="B226" s="79">
        <v>75</v>
      </c>
      <c r="C226" s="127"/>
      <c r="D226" s="5"/>
      <c r="E226" s="128"/>
      <c r="F226" s="80">
        <f t="shared" si="29"/>
        <v>0</v>
      </c>
      <c r="G226" s="81"/>
      <c r="H226" s="129"/>
      <c r="I226" s="130"/>
      <c r="J226" s="82">
        <f t="shared" si="30"/>
        <v>0</v>
      </c>
      <c r="K226" s="7"/>
      <c r="L226" s="157"/>
      <c r="M226" s="157"/>
      <c r="N226" s="167"/>
      <c r="O226" s="167"/>
      <c r="P226" s="157"/>
      <c r="Q226" s="167"/>
      <c r="R226" s="143"/>
      <c r="S226" s="143"/>
      <c r="T226" s="143"/>
      <c r="U226" s="143"/>
      <c r="V226" s="143"/>
      <c r="W226" s="143"/>
      <c r="X226" s="143"/>
      <c r="Y226" s="143"/>
      <c r="Z226" s="143"/>
      <c r="AA226" s="143"/>
      <c r="AB226" s="143"/>
    </row>
    <row r="227" spans="1:28" x14ac:dyDescent="0.2">
      <c r="A227" s="70"/>
      <c r="B227" s="79">
        <v>76</v>
      </c>
      <c r="C227" s="127"/>
      <c r="D227" s="5"/>
      <c r="E227" s="128"/>
      <c r="F227" s="80">
        <f t="shared" si="29"/>
        <v>0</v>
      </c>
      <c r="G227" s="81"/>
      <c r="H227" s="129"/>
      <c r="I227" s="130"/>
      <c r="J227" s="82">
        <f t="shared" si="30"/>
        <v>0</v>
      </c>
      <c r="K227" s="7"/>
      <c r="L227" s="157"/>
      <c r="M227" s="157"/>
      <c r="N227" s="167"/>
      <c r="O227" s="167"/>
      <c r="P227" s="157"/>
      <c r="Q227" s="167"/>
      <c r="R227" s="143"/>
      <c r="S227" s="143"/>
      <c r="T227" s="143"/>
      <c r="U227" s="143"/>
      <c r="V227" s="143"/>
      <c r="W227" s="143"/>
      <c r="X227" s="143"/>
      <c r="Y227" s="143"/>
      <c r="Z227" s="143"/>
      <c r="AA227" s="143"/>
      <c r="AB227" s="143"/>
    </row>
    <row r="228" spans="1:28" x14ac:dyDescent="0.2">
      <c r="A228" s="70"/>
      <c r="B228" s="79">
        <v>77</v>
      </c>
      <c r="C228" s="127"/>
      <c r="D228" s="5"/>
      <c r="E228" s="128"/>
      <c r="F228" s="80">
        <f t="shared" si="29"/>
        <v>0</v>
      </c>
      <c r="G228" s="81"/>
      <c r="H228" s="129"/>
      <c r="I228" s="130"/>
      <c r="J228" s="82">
        <f t="shared" si="30"/>
        <v>0</v>
      </c>
      <c r="K228" s="7"/>
      <c r="L228" s="157"/>
      <c r="M228" s="157"/>
      <c r="N228" s="167"/>
      <c r="O228" s="167"/>
      <c r="P228" s="157"/>
      <c r="Q228" s="167"/>
      <c r="R228" s="143"/>
      <c r="S228" s="143"/>
      <c r="T228" s="143"/>
      <c r="U228" s="143"/>
      <c r="V228" s="143"/>
      <c r="W228" s="143"/>
      <c r="X228" s="143"/>
      <c r="Y228" s="143"/>
      <c r="Z228" s="143"/>
      <c r="AA228" s="143"/>
      <c r="AB228" s="143"/>
    </row>
    <row r="229" spans="1:28" x14ac:dyDescent="0.2">
      <c r="A229" s="70"/>
      <c r="B229" s="79">
        <v>78</v>
      </c>
      <c r="C229" s="127"/>
      <c r="D229" s="5"/>
      <c r="E229" s="128"/>
      <c r="F229" s="80">
        <f t="shared" si="29"/>
        <v>0</v>
      </c>
      <c r="G229" s="81"/>
      <c r="H229" s="129"/>
      <c r="I229" s="130"/>
      <c r="J229" s="82">
        <f t="shared" si="30"/>
        <v>0</v>
      </c>
      <c r="K229" s="7"/>
      <c r="L229" s="157"/>
      <c r="M229" s="157"/>
      <c r="N229" s="167"/>
      <c r="O229" s="167"/>
      <c r="P229" s="157"/>
      <c r="Q229" s="167"/>
      <c r="R229" s="143"/>
      <c r="S229" s="143"/>
      <c r="T229" s="143"/>
      <c r="U229" s="143"/>
      <c r="V229" s="143"/>
      <c r="W229" s="143"/>
      <c r="X229" s="143"/>
      <c r="Y229" s="143"/>
      <c r="Z229" s="143"/>
      <c r="AA229" s="143"/>
      <c r="AB229" s="143"/>
    </row>
    <row r="230" spans="1:28" x14ac:dyDescent="0.2">
      <c r="A230" s="70"/>
      <c r="B230" s="79">
        <v>79</v>
      </c>
      <c r="C230" s="127"/>
      <c r="D230" s="5"/>
      <c r="E230" s="128"/>
      <c r="F230" s="80">
        <f t="shared" si="29"/>
        <v>0</v>
      </c>
      <c r="G230" s="81"/>
      <c r="H230" s="129"/>
      <c r="I230" s="130"/>
      <c r="J230" s="82">
        <f t="shared" si="30"/>
        <v>0</v>
      </c>
      <c r="K230" s="7"/>
      <c r="L230" s="157"/>
      <c r="M230" s="157"/>
      <c r="N230" s="167"/>
      <c r="O230" s="167"/>
      <c r="P230" s="157"/>
      <c r="Q230" s="167"/>
      <c r="R230" s="143"/>
      <c r="S230" s="143"/>
      <c r="T230" s="143"/>
      <c r="U230" s="143"/>
      <c r="V230" s="143"/>
      <c r="W230" s="143"/>
      <c r="X230" s="143"/>
      <c r="Y230" s="143"/>
      <c r="Z230" s="143"/>
      <c r="AA230" s="143"/>
      <c r="AB230" s="143"/>
    </row>
    <row r="231" spans="1:28" x14ac:dyDescent="0.2">
      <c r="A231" s="70"/>
      <c r="B231" s="79">
        <v>80</v>
      </c>
      <c r="C231" s="127"/>
      <c r="D231" s="5"/>
      <c r="E231" s="128"/>
      <c r="F231" s="80">
        <f t="shared" si="29"/>
        <v>0</v>
      </c>
      <c r="G231" s="81"/>
      <c r="H231" s="129"/>
      <c r="I231" s="130"/>
      <c r="J231" s="82">
        <f t="shared" si="30"/>
        <v>0</v>
      </c>
      <c r="K231" s="7"/>
      <c r="L231" s="157"/>
      <c r="M231" s="157"/>
      <c r="N231" s="167"/>
      <c r="O231" s="167"/>
      <c r="P231" s="157"/>
      <c r="Q231" s="167"/>
      <c r="R231" s="143"/>
      <c r="S231" s="143"/>
      <c r="T231" s="143"/>
      <c r="U231" s="143"/>
      <c r="V231" s="143"/>
      <c r="W231" s="143"/>
      <c r="X231" s="143"/>
      <c r="Y231" s="143"/>
      <c r="Z231" s="143"/>
      <c r="AA231" s="143"/>
      <c r="AB231" s="143"/>
    </row>
    <row r="232" spans="1:28" x14ac:dyDescent="0.2">
      <c r="A232" s="70"/>
      <c r="B232" s="79">
        <v>81</v>
      </c>
      <c r="C232" s="127"/>
      <c r="D232" s="5"/>
      <c r="E232" s="128"/>
      <c r="F232" s="80">
        <f>IF((D232="Ground Lease"),J232,IF(D232="Deed/GL",(E232+J232),E232))</f>
        <v>0</v>
      </c>
      <c r="G232" s="81"/>
      <c r="H232" s="129"/>
      <c r="I232" s="130"/>
      <c r="J232" s="82">
        <f>IF(H232&gt;36,"INVALID",H232*I232)</f>
        <v>0</v>
      </c>
      <c r="L232" s="157"/>
      <c r="M232" s="157"/>
      <c r="N232" s="167"/>
      <c r="O232" s="167"/>
      <c r="P232" s="157"/>
      <c r="Q232" s="167"/>
      <c r="R232" s="143"/>
      <c r="S232" s="143"/>
      <c r="T232" s="143"/>
      <c r="U232" s="143"/>
      <c r="V232" s="143"/>
      <c r="W232" s="143"/>
      <c r="X232" s="143"/>
      <c r="Y232" s="143"/>
      <c r="Z232" s="143"/>
      <c r="AA232" s="143"/>
      <c r="AB232" s="143"/>
    </row>
    <row r="233" spans="1:28" x14ac:dyDescent="0.2">
      <c r="A233" s="70"/>
      <c r="B233" s="79">
        <v>82</v>
      </c>
      <c r="C233" s="127"/>
      <c r="D233" s="5"/>
      <c r="E233" s="128"/>
      <c r="F233" s="80">
        <f t="shared" ref="F233:F247" si="31">IF((D233="Ground Lease"),J233,IF(D233="Deed/GL",(E233+J233),E233))</f>
        <v>0</v>
      </c>
      <c r="G233" s="81"/>
      <c r="H233" s="129"/>
      <c r="I233" s="130"/>
      <c r="J233" s="82">
        <f t="shared" ref="J233:J247" si="32">IF(H233&gt;36,"INVALID",H233*I233)</f>
        <v>0</v>
      </c>
      <c r="K233" s="7"/>
      <c r="L233" s="157"/>
      <c r="M233" s="157"/>
      <c r="N233" s="167"/>
      <c r="O233" s="167"/>
      <c r="P233" s="157"/>
      <c r="Q233" s="167"/>
      <c r="R233" s="143"/>
      <c r="S233" s="143"/>
      <c r="T233" s="143"/>
      <c r="U233" s="143"/>
      <c r="V233" s="143"/>
      <c r="W233" s="143"/>
      <c r="X233" s="143"/>
      <c r="Y233" s="143"/>
      <c r="Z233" s="143"/>
      <c r="AA233" s="143"/>
      <c r="AB233" s="143"/>
    </row>
    <row r="234" spans="1:28" x14ac:dyDescent="0.2">
      <c r="A234" s="70"/>
      <c r="B234" s="79">
        <v>83</v>
      </c>
      <c r="C234" s="127"/>
      <c r="D234" s="5"/>
      <c r="E234" s="128"/>
      <c r="F234" s="80">
        <f t="shared" si="31"/>
        <v>0</v>
      </c>
      <c r="G234" s="81"/>
      <c r="H234" s="129"/>
      <c r="I234" s="130"/>
      <c r="J234" s="82">
        <f t="shared" si="32"/>
        <v>0</v>
      </c>
      <c r="K234" s="7"/>
      <c r="L234" s="157"/>
      <c r="M234" s="157"/>
      <c r="N234" s="167"/>
      <c r="O234" s="167"/>
      <c r="P234" s="157"/>
      <c r="Q234" s="167"/>
      <c r="R234" s="143"/>
      <c r="S234" s="143"/>
      <c r="T234" s="143"/>
      <c r="U234" s="143"/>
      <c r="V234" s="143"/>
      <c r="W234" s="143"/>
      <c r="X234" s="143"/>
      <c r="Y234" s="143"/>
      <c r="Z234" s="143"/>
      <c r="AA234" s="143"/>
      <c r="AB234" s="143"/>
    </row>
    <row r="235" spans="1:28" x14ac:dyDescent="0.2">
      <c r="A235" s="70"/>
      <c r="B235" s="79">
        <v>84</v>
      </c>
      <c r="C235" s="127"/>
      <c r="D235" s="5"/>
      <c r="E235" s="128"/>
      <c r="F235" s="80">
        <f t="shared" si="31"/>
        <v>0</v>
      </c>
      <c r="G235" s="81"/>
      <c r="H235" s="129"/>
      <c r="I235" s="130"/>
      <c r="J235" s="82">
        <f t="shared" si="32"/>
        <v>0</v>
      </c>
      <c r="K235" s="7"/>
      <c r="L235" s="157"/>
      <c r="M235" s="157"/>
      <c r="N235" s="167"/>
      <c r="O235" s="167"/>
      <c r="P235" s="157"/>
      <c r="Q235" s="167"/>
      <c r="R235" s="143"/>
      <c r="S235" s="143"/>
      <c r="T235" s="143"/>
      <c r="U235" s="143"/>
      <c r="V235" s="143"/>
      <c r="W235" s="143"/>
      <c r="X235" s="143"/>
      <c r="Y235" s="143"/>
      <c r="Z235" s="143"/>
      <c r="AA235" s="143"/>
      <c r="AB235" s="143"/>
    </row>
    <row r="236" spans="1:28" x14ac:dyDescent="0.2">
      <c r="A236" s="70"/>
      <c r="B236" s="79">
        <v>85</v>
      </c>
      <c r="C236" s="127"/>
      <c r="D236" s="5"/>
      <c r="E236" s="128"/>
      <c r="F236" s="80">
        <f t="shared" si="31"/>
        <v>0</v>
      </c>
      <c r="G236" s="81"/>
      <c r="H236" s="129"/>
      <c r="I236" s="130"/>
      <c r="J236" s="82">
        <f t="shared" si="32"/>
        <v>0</v>
      </c>
      <c r="K236" s="7"/>
      <c r="L236" s="157"/>
      <c r="M236" s="157"/>
      <c r="N236" s="167"/>
      <c r="O236" s="167"/>
      <c r="P236" s="157"/>
      <c r="Q236" s="167"/>
      <c r="R236" s="143"/>
      <c r="S236" s="143"/>
      <c r="T236" s="143"/>
      <c r="U236" s="143"/>
      <c r="V236" s="143"/>
      <c r="W236" s="143"/>
      <c r="X236" s="143"/>
      <c r="Y236" s="143"/>
      <c r="Z236" s="143"/>
      <c r="AA236" s="143"/>
      <c r="AB236" s="143"/>
    </row>
    <row r="237" spans="1:28" x14ac:dyDescent="0.2">
      <c r="A237" s="70"/>
      <c r="B237" s="79">
        <v>86</v>
      </c>
      <c r="C237" s="127"/>
      <c r="D237" s="5"/>
      <c r="E237" s="128"/>
      <c r="F237" s="80">
        <f t="shared" si="31"/>
        <v>0</v>
      </c>
      <c r="G237" s="81"/>
      <c r="H237" s="129"/>
      <c r="I237" s="130"/>
      <c r="J237" s="82">
        <f t="shared" si="32"/>
        <v>0</v>
      </c>
      <c r="K237" s="7"/>
      <c r="L237" s="157"/>
      <c r="M237" s="157"/>
      <c r="N237" s="167"/>
      <c r="O237" s="167"/>
      <c r="P237" s="157"/>
      <c r="Q237" s="167"/>
      <c r="R237" s="143"/>
      <c r="S237" s="143"/>
      <c r="T237" s="143"/>
      <c r="U237" s="143"/>
      <c r="V237" s="143"/>
      <c r="W237" s="143"/>
      <c r="X237" s="143"/>
      <c r="Y237" s="143"/>
      <c r="Z237" s="143"/>
      <c r="AA237" s="143"/>
      <c r="AB237" s="143"/>
    </row>
    <row r="238" spans="1:28" x14ac:dyDescent="0.2">
      <c r="A238" s="70"/>
      <c r="B238" s="79">
        <v>87</v>
      </c>
      <c r="C238" s="127"/>
      <c r="D238" s="5"/>
      <c r="E238" s="128"/>
      <c r="F238" s="80">
        <f t="shared" si="31"/>
        <v>0</v>
      </c>
      <c r="G238" s="81"/>
      <c r="H238" s="129"/>
      <c r="I238" s="130"/>
      <c r="J238" s="82">
        <f t="shared" si="32"/>
        <v>0</v>
      </c>
      <c r="K238" s="7"/>
      <c r="L238" s="157"/>
      <c r="M238" s="157"/>
      <c r="N238" s="167"/>
      <c r="O238" s="167"/>
      <c r="P238" s="157"/>
      <c r="Q238" s="167"/>
      <c r="R238" s="143"/>
      <c r="S238" s="143"/>
      <c r="T238" s="143"/>
      <c r="U238" s="143"/>
      <c r="V238" s="143"/>
      <c r="W238" s="143"/>
      <c r="X238" s="143"/>
      <c r="Y238" s="143"/>
      <c r="Z238" s="143"/>
      <c r="AA238" s="143"/>
      <c r="AB238" s="143"/>
    </row>
    <row r="239" spans="1:28" x14ac:dyDescent="0.2">
      <c r="A239" s="70"/>
      <c r="B239" s="79">
        <v>88</v>
      </c>
      <c r="C239" s="127"/>
      <c r="D239" s="5"/>
      <c r="E239" s="128"/>
      <c r="F239" s="80">
        <f t="shared" si="31"/>
        <v>0</v>
      </c>
      <c r="G239" s="81"/>
      <c r="H239" s="129"/>
      <c r="I239" s="130"/>
      <c r="J239" s="82">
        <f t="shared" si="32"/>
        <v>0</v>
      </c>
      <c r="K239" s="7"/>
      <c r="L239" s="157"/>
      <c r="M239" s="157"/>
      <c r="N239" s="167"/>
      <c r="O239" s="167"/>
      <c r="P239" s="157"/>
      <c r="Q239" s="167"/>
      <c r="R239" s="143"/>
      <c r="S239" s="143"/>
      <c r="T239" s="143"/>
      <c r="U239" s="143"/>
      <c r="V239" s="143"/>
      <c r="W239" s="143"/>
      <c r="X239" s="143"/>
      <c r="Y239" s="143"/>
      <c r="Z239" s="143"/>
      <c r="AA239" s="143"/>
      <c r="AB239" s="143"/>
    </row>
    <row r="240" spans="1:28" x14ac:dyDescent="0.2">
      <c r="A240" s="70"/>
      <c r="B240" s="79">
        <v>89</v>
      </c>
      <c r="C240" s="127"/>
      <c r="D240" s="5"/>
      <c r="E240" s="128"/>
      <c r="F240" s="80">
        <f t="shared" si="31"/>
        <v>0</v>
      </c>
      <c r="G240" s="81"/>
      <c r="H240" s="129"/>
      <c r="I240" s="130"/>
      <c r="J240" s="82">
        <f t="shared" si="32"/>
        <v>0</v>
      </c>
      <c r="K240" s="7"/>
      <c r="L240" s="157"/>
      <c r="M240" s="157"/>
      <c r="N240" s="167"/>
      <c r="O240" s="167"/>
      <c r="P240" s="157"/>
      <c r="Q240" s="167"/>
      <c r="R240" s="143"/>
      <c r="S240" s="143"/>
      <c r="T240" s="143"/>
      <c r="U240" s="143"/>
      <c r="V240" s="143"/>
      <c r="W240" s="143"/>
      <c r="X240" s="143"/>
      <c r="Y240" s="143"/>
      <c r="Z240" s="143"/>
      <c r="AA240" s="143"/>
      <c r="AB240" s="143"/>
    </row>
    <row r="241" spans="1:28" x14ac:dyDescent="0.2">
      <c r="A241" s="70"/>
      <c r="B241" s="79">
        <v>90</v>
      </c>
      <c r="C241" s="127"/>
      <c r="D241" s="5"/>
      <c r="E241" s="128"/>
      <c r="F241" s="80">
        <f t="shared" si="31"/>
        <v>0</v>
      </c>
      <c r="G241" s="81"/>
      <c r="H241" s="129"/>
      <c r="I241" s="130"/>
      <c r="J241" s="82">
        <f t="shared" si="32"/>
        <v>0</v>
      </c>
      <c r="K241" s="7"/>
      <c r="L241" s="157"/>
      <c r="M241" s="157"/>
      <c r="N241" s="167"/>
      <c r="O241" s="167"/>
      <c r="P241" s="157"/>
      <c r="Q241" s="167"/>
      <c r="R241" s="143"/>
      <c r="S241" s="143"/>
      <c r="T241" s="143"/>
      <c r="U241" s="143"/>
      <c r="V241" s="143"/>
      <c r="W241" s="143"/>
      <c r="X241" s="143"/>
      <c r="Y241" s="143"/>
      <c r="Z241" s="143"/>
      <c r="AA241" s="143"/>
      <c r="AB241" s="143"/>
    </row>
    <row r="242" spans="1:28" x14ac:dyDescent="0.2">
      <c r="A242" s="70"/>
      <c r="B242" s="79">
        <v>91</v>
      </c>
      <c r="C242" s="127"/>
      <c r="D242" s="5"/>
      <c r="E242" s="128"/>
      <c r="F242" s="80">
        <f t="shared" si="31"/>
        <v>0</v>
      </c>
      <c r="G242" s="81"/>
      <c r="H242" s="129"/>
      <c r="I242" s="130"/>
      <c r="J242" s="82">
        <f t="shared" si="32"/>
        <v>0</v>
      </c>
      <c r="K242" s="7"/>
      <c r="L242" s="157"/>
      <c r="M242" s="157"/>
      <c r="N242" s="167"/>
      <c r="O242" s="167"/>
      <c r="P242" s="157"/>
      <c r="Q242" s="167"/>
      <c r="R242" s="143"/>
      <c r="S242" s="143"/>
      <c r="T242" s="143"/>
      <c r="U242" s="143"/>
      <c r="V242" s="143"/>
      <c r="W242" s="143"/>
      <c r="X242" s="143"/>
      <c r="Y242" s="143"/>
      <c r="Z242" s="143"/>
      <c r="AA242" s="143"/>
      <c r="AB242" s="143"/>
    </row>
    <row r="243" spans="1:28" x14ac:dyDescent="0.2">
      <c r="A243" s="70"/>
      <c r="B243" s="79">
        <v>92</v>
      </c>
      <c r="C243" s="127"/>
      <c r="D243" s="5"/>
      <c r="E243" s="128"/>
      <c r="F243" s="80">
        <f t="shared" si="31"/>
        <v>0</v>
      </c>
      <c r="G243" s="81"/>
      <c r="H243" s="129"/>
      <c r="I243" s="130"/>
      <c r="J243" s="82">
        <f t="shared" si="32"/>
        <v>0</v>
      </c>
      <c r="K243" s="7"/>
      <c r="L243" s="157"/>
      <c r="M243" s="157"/>
      <c r="N243" s="167"/>
      <c r="O243" s="167"/>
      <c r="P243" s="157"/>
      <c r="Q243" s="167"/>
      <c r="R243" s="143"/>
      <c r="S243" s="143"/>
      <c r="T243" s="143"/>
      <c r="U243" s="143"/>
      <c r="V243" s="143"/>
      <c r="W243" s="143"/>
      <c r="X243" s="143"/>
      <c r="Y243" s="143"/>
      <c r="Z243" s="143"/>
      <c r="AA243" s="143"/>
      <c r="AB243" s="143"/>
    </row>
    <row r="244" spans="1:28" x14ac:dyDescent="0.2">
      <c r="A244" s="70"/>
      <c r="B244" s="79">
        <v>93</v>
      </c>
      <c r="C244" s="127"/>
      <c r="D244" s="5"/>
      <c r="E244" s="128"/>
      <c r="F244" s="80">
        <f t="shared" si="31"/>
        <v>0</v>
      </c>
      <c r="G244" s="81"/>
      <c r="H244" s="129"/>
      <c r="I244" s="130"/>
      <c r="J244" s="82">
        <f t="shared" si="32"/>
        <v>0</v>
      </c>
      <c r="K244" s="7"/>
      <c r="L244" s="157"/>
      <c r="M244" s="157"/>
      <c r="N244" s="167"/>
      <c r="O244" s="167"/>
      <c r="P244" s="157"/>
      <c r="Q244" s="167"/>
      <c r="R244" s="143"/>
      <c r="S244" s="143"/>
      <c r="T244" s="143"/>
      <c r="U244" s="143"/>
      <c r="V244" s="143"/>
      <c r="W244" s="143"/>
      <c r="X244" s="143"/>
      <c r="Y244" s="143"/>
      <c r="Z244" s="143"/>
      <c r="AA244" s="143"/>
      <c r="AB244" s="143"/>
    </row>
    <row r="245" spans="1:28" x14ac:dyDescent="0.2">
      <c r="A245" s="70"/>
      <c r="B245" s="79">
        <v>94</v>
      </c>
      <c r="C245" s="127"/>
      <c r="D245" s="5"/>
      <c r="E245" s="128"/>
      <c r="F245" s="80">
        <f t="shared" si="31"/>
        <v>0</v>
      </c>
      <c r="G245" s="81"/>
      <c r="H245" s="129"/>
      <c r="I245" s="130"/>
      <c r="J245" s="82">
        <f t="shared" si="32"/>
        <v>0</v>
      </c>
      <c r="K245" s="7"/>
      <c r="L245" s="157"/>
      <c r="M245" s="157"/>
      <c r="N245" s="167"/>
      <c r="O245" s="167"/>
      <c r="P245" s="157"/>
      <c r="Q245" s="167"/>
      <c r="R245" s="143"/>
      <c r="S245" s="143"/>
      <c r="T245" s="143"/>
      <c r="U245" s="143"/>
      <c r="V245" s="143"/>
      <c r="W245" s="143"/>
      <c r="X245" s="143"/>
      <c r="Y245" s="143"/>
      <c r="Z245" s="143"/>
      <c r="AA245" s="143"/>
      <c r="AB245" s="143"/>
    </row>
    <row r="246" spans="1:28" x14ac:dyDescent="0.2">
      <c r="A246" s="70"/>
      <c r="B246" s="79">
        <v>95</v>
      </c>
      <c r="C246" s="127"/>
      <c r="D246" s="5"/>
      <c r="E246" s="128"/>
      <c r="F246" s="80">
        <f t="shared" si="31"/>
        <v>0</v>
      </c>
      <c r="G246" s="81"/>
      <c r="H246" s="129"/>
      <c r="I246" s="130"/>
      <c r="J246" s="82">
        <f t="shared" si="32"/>
        <v>0</v>
      </c>
      <c r="K246" s="7"/>
      <c r="L246" s="157"/>
      <c r="M246" s="157"/>
      <c r="N246" s="167"/>
      <c r="O246" s="167"/>
      <c r="P246" s="157"/>
      <c r="Q246" s="167"/>
      <c r="R246" s="143"/>
      <c r="S246" s="143"/>
      <c r="T246" s="143"/>
      <c r="U246" s="143"/>
      <c r="V246" s="143"/>
      <c r="W246" s="143"/>
      <c r="X246" s="143"/>
      <c r="Y246" s="143"/>
      <c r="Z246" s="143"/>
      <c r="AA246" s="143"/>
      <c r="AB246" s="143"/>
    </row>
    <row r="247" spans="1:28" x14ac:dyDescent="0.2">
      <c r="A247" s="70"/>
      <c r="B247" s="79">
        <v>96</v>
      </c>
      <c r="C247" s="127"/>
      <c r="D247" s="5"/>
      <c r="E247" s="128"/>
      <c r="F247" s="80">
        <f t="shared" si="31"/>
        <v>0</v>
      </c>
      <c r="G247" s="81"/>
      <c r="H247" s="129"/>
      <c r="I247" s="130"/>
      <c r="J247" s="82">
        <f t="shared" si="32"/>
        <v>0</v>
      </c>
      <c r="K247" s="7"/>
      <c r="L247" s="157"/>
      <c r="M247" s="157"/>
      <c r="N247" s="167"/>
      <c r="O247" s="167"/>
      <c r="P247" s="157"/>
      <c r="Q247" s="167"/>
      <c r="R247" s="143"/>
      <c r="S247" s="143"/>
      <c r="T247" s="143"/>
      <c r="U247" s="143"/>
      <c r="V247" s="143"/>
      <c r="W247" s="143"/>
      <c r="X247" s="143"/>
      <c r="Y247" s="143"/>
      <c r="Z247" s="143"/>
      <c r="AA247" s="143"/>
      <c r="AB247" s="143"/>
    </row>
    <row r="248" spans="1:28" x14ac:dyDescent="0.2">
      <c r="A248" s="70"/>
      <c r="B248" s="79">
        <v>97</v>
      </c>
      <c r="C248" s="127"/>
      <c r="D248" s="5"/>
      <c r="E248" s="128"/>
      <c r="F248" s="80">
        <f>IF((D248="Ground Lease"),J248,IF(D248="Deed/GL",(E248+J248),E248))</f>
        <v>0</v>
      </c>
      <c r="G248" s="81"/>
      <c r="H248" s="129"/>
      <c r="I248" s="130"/>
      <c r="J248" s="82">
        <f>IF(H248&gt;36,"INVALID",H248*I248)</f>
        <v>0</v>
      </c>
      <c r="L248" s="157"/>
      <c r="M248" s="157"/>
      <c r="N248" s="167"/>
      <c r="O248" s="167"/>
      <c r="P248" s="157"/>
      <c r="Q248" s="167"/>
      <c r="R248" s="143"/>
      <c r="S248" s="143"/>
      <c r="T248" s="143"/>
      <c r="U248" s="143"/>
      <c r="V248" s="143"/>
      <c r="W248" s="143"/>
      <c r="X248" s="143"/>
      <c r="Y248" s="143"/>
      <c r="Z248" s="143"/>
      <c r="AA248" s="143"/>
      <c r="AB248" s="143"/>
    </row>
    <row r="249" spans="1:28" x14ac:dyDescent="0.2">
      <c r="A249" s="70"/>
      <c r="B249" s="79">
        <v>98</v>
      </c>
      <c r="C249" s="127"/>
      <c r="D249" s="5"/>
      <c r="E249" s="128"/>
      <c r="F249" s="80">
        <f>IF((D249="Ground Lease"),J249,IF(D249="Deed/GL",(E249+J249),E249))</f>
        <v>0</v>
      </c>
      <c r="G249" s="81"/>
      <c r="H249" s="129"/>
      <c r="I249" s="130"/>
      <c r="J249" s="82">
        <f>IF(H249&gt;36,"INVALID",H249*I249)</f>
        <v>0</v>
      </c>
      <c r="K249" s="7"/>
      <c r="L249" s="157"/>
      <c r="M249" s="157"/>
      <c r="N249" s="167"/>
      <c r="O249" s="167"/>
      <c r="P249" s="157"/>
      <c r="Q249" s="167"/>
      <c r="R249" s="143"/>
      <c r="S249" s="143"/>
      <c r="T249" s="143"/>
      <c r="U249" s="143"/>
      <c r="V249" s="143"/>
      <c r="W249" s="143"/>
      <c r="X249" s="143"/>
      <c r="Y249" s="143"/>
      <c r="Z249" s="143"/>
      <c r="AA249" s="143"/>
      <c r="AB249" s="143"/>
    </row>
    <row r="250" spans="1:28" x14ac:dyDescent="0.2">
      <c r="A250" s="70"/>
      <c r="B250" s="79">
        <v>99</v>
      </c>
      <c r="C250" s="127"/>
      <c r="D250" s="5"/>
      <c r="E250" s="128"/>
      <c r="F250" s="80">
        <f>IF((D250="Ground Lease"),J250,IF(D250="Deed/GL",(E250+J250),E250))</f>
        <v>0</v>
      </c>
      <c r="G250" s="81"/>
      <c r="H250" s="129"/>
      <c r="I250" s="130"/>
      <c r="J250" s="82">
        <f>IF(H250&gt;36,"INVALID",H250*I250)</f>
        <v>0</v>
      </c>
      <c r="K250" s="7"/>
      <c r="L250" s="157"/>
      <c r="M250" s="157"/>
      <c r="N250" s="167"/>
      <c r="O250" s="167"/>
      <c r="P250" s="157"/>
      <c r="Q250" s="167"/>
      <c r="R250" s="143"/>
      <c r="S250" s="143"/>
      <c r="T250" s="143"/>
      <c r="U250" s="143"/>
      <c r="V250" s="143"/>
      <c r="W250" s="143"/>
      <c r="X250" s="143"/>
      <c r="Y250" s="143"/>
      <c r="Z250" s="143"/>
      <c r="AA250" s="143"/>
      <c r="AB250" s="143"/>
    </row>
    <row r="251" spans="1:28" x14ac:dyDescent="0.2">
      <c r="A251" s="70"/>
      <c r="B251" s="79">
        <v>100</v>
      </c>
      <c r="C251" s="127"/>
      <c r="D251" s="5"/>
      <c r="E251" s="128"/>
      <c r="F251" s="80">
        <f>IF((D251="Ground Lease"),J251,IF(D251="Deed/GL",(E251+J251),E251))</f>
        <v>0</v>
      </c>
      <c r="G251" s="81"/>
      <c r="H251" s="129"/>
      <c r="I251" s="130"/>
      <c r="J251" s="82">
        <f>IF(H251&gt;36,"INVALID",H251*I251)</f>
        <v>0</v>
      </c>
      <c r="K251" s="7"/>
      <c r="L251" s="157"/>
      <c r="M251" s="157"/>
      <c r="N251" s="167"/>
      <c r="O251" s="167"/>
      <c r="P251" s="157"/>
      <c r="Q251" s="167"/>
      <c r="R251" s="143"/>
      <c r="S251" s="143"/>
      <c r="T251" s="143"/>
      <c r="U251" s="143"/>
      <c r="V251" s="143"/>
      <c r="W251" s="143"/>
      <c r="X251" s="143"/>
      <c r="Y251" s="143"/>
      <c r="Z251" s="143"/>
      <c r="AA251" s="143"/>
      <c r="AB251" s="143"/>
    </row>
    <row r="252" spans="1:28" x14ac:dyDescent="0.2">
      <c r="A252" s="70"/>
      <c r="B252" s="83" t="s">
        <v>76</v>
      </c>
      <c r="C252" s="84"/>
      <c r="D252" s="84"/>
      <c r="E252" s="85"/>
      <c r="F252" s="86">
        <f>SUM(F152:F251)</f>
        <v>0</v>
      </c>
      <c r="G252" s="87"/>
      <c r="H252" s="24" t="s">
        <v>77</v>
      </c>
      <c r="I252" s="24"/>
      <c r="J252" s="72"/>
      <c r="K252" s="7"/>
      <c r="L252" s="157"/>
      <c r="M252" s="157"/>
      <c r="N252" s="157"/>
      <c r="O252" s="157"/>
      <c r="P252" s="157"/>
      <c r="Q252" s="157"/>
      <c r="R252" s="133"/>
      <c r="S252" s="133"/>
      <c r="T252" s="133"/>
      <c r="U252" s="133"/>
      <c r="V252" s="133"/>
      <c r="W252" s="133"/>
      <c r="X252" s="133"/>
      <c r="Y252" s="133"/>
      <c r="Z252" s="133"/>
      <c r="AA252" s="133"/>
      <c r="AB252" s="133"/>
    </row>
    <row r="253" spans="1:28" ht="12.75" customHeight="1" x14ac:dyDescent="0.2">
      <c r="A253" s="24" t="s">
        <v>78</v>
      </c>
      <c r="B253" s="24"/>
      <c r="C253" s="88"/>
      <c r="D253" s="88"/>
      <c r="E253" s="88"/>
      <c r="F253" s="131"/>
      <c r="G253" s="89"/>
      <c r="H253" s="24"/>
      <c r="I253" s="24"/>
      <c r="L253" s="157"/>
      <c r="M253" s="157"/>
      <c r="N253" s="157"/>
      <c r="O253" s="157"/>
      <c r="P253" s="157"/>
      <c r="Q253" s="157"/>
      <c r="R253" s="133"/>
      <c r="S253" s="133"/>
      <c r="T253" s="133"/>
      <c r="U253" s="133"/>
      <c r="V253" s="133"/>
      <c r="W253" s="133"/>
      <c r="X253" s="133"/>
      <c r="Y253" s="133"/>
      <c r="Z253" s="133"/>
      <c r="AA253" s="133"/>
      <c r="AB253" s="133"/>
    </row>
    <row r="254" spans="1:28" x14ac:dyDescent="0.2">
      <c r="A254" s="24" t="s">
        <v>79</v>
      </c>
      <c r="B254" s="24"/>
      <c r="C254" s="24"/>
      <c r="D254" s="24"/>
      <c r="E254" s="24"/>
      <c r="F254" s="131"/>
      <c r="G254" s="89"/>
      <c r="H254" s="90"/>
      <c r="I254" s="90"/>
      <c r="J254" s="90"/>
      <c r="K254" s="7"/>
      <c r="L254" s="157"/>
      <c r="M254" s="157"/>
      <c r="N254" s="157"/>
      <c r="O254" s="157"/>
      <c r="P254" s="157"/>
      <c r="Q254" s="157"/>
    </row>
    <row r="255" spans="1:28" x14ac:dyDescent="0.2">
      <c r="A255" s="24" t="s">
        <v>80</v>
      </c>
      <c r="B255" s="24"/>
      <c r="C255" s="24"/>
      <c r="D255" s="24"/>
      <c r="E255" s="24"/>
      <c r="F255" s="131"/>
      <c r="G255" s="89"/>
      <c r="H255" s="90"/>
      <c r="I255" s="90"/>
      <c r="J255" s="90"/>
      <c r="K255" s="7"/>
      <c r="L255" s="157"/>
      <c r="M255" s="157"/>
      <c r="N255" s="157"/>
      <c r="O255" s="157"/>
      <c r="P255" s="157"/>
      <c r="Q255" s="157"/>
    </row>
    <row r="256" spans="1:28" x14ac:dyDescent="0.2">
      <c r="A256" s="24" t="s">
        <v>81</v>
      </c>
      <c r="B256" s="24"/>
      <c r="C256" s="24"/>
      <c r="D256" s="24"/>
      <c r="E256" s="24"/>
      <c r="F256" s="131"/>
      <c r="G256" s="89"/>
      <c r="H256" s="90"/>
      <c r="I256" s="90"/>
      <c r="J256" s="90"/>
      <c r="K256" s="7"/>
      <c r="L256" s="157"/>
      <c r="M256" s="157"/>
      <c r="N256" s="157"/>
      <c r="O256" s="157"/>
      <c r="P256" s="157"/>
      <c r="Q256" s="157"/>
    </row>
    <row r="257" spans="1:29" x14ac:dyDescent="0.2">
      <c r="A257" s="24" t="s">
        <v>82</v>
      </c>
      <c r="B257" s="24"/>
      <c r="C257" s="24"/>
      <c r="D257" s="24"/>
      <c r="E257" s="24"/>
      <c r="F257" s="131"/>
      <c r="G257" s="89"/>
      <c r="H257" s="90"/>
      <c r="I257" s="90"/>
      <c r="J257" s="90"/>
      <c r="K257" s="7"/>
      <c r="L257" s="157"/>
      <c r="M257" s="157"/>
      <c r="N257" s="157"/>
      <c r="O257" s="157"/>
      <c r="P257" s="157"/>
      <c r="Q257" s="157"/>
    </row>
    <row r="258" spans="1:29" x14ac:dyDescent="0.2">
      <c r="A258" s="24" t="s">
        <v>83</v>
      </c>
      <c r="B258" s="24"/>
      <c r="C258" s="24"/>
      <c r="D258" s="24"/>
      <c r="E258" s="24"/>
      <c r="F258" s="91">
        <f>SUM(F252:F257)</f>
        <v>0</v>
      </c>
      <c r="G258" s="92"/>
      <c r="H258" s="90"/>
      <c r="I258" s="90"/>
      <c r="J258" s="90"/>
      <c r="K258" s="7"/>
      <c r="L258" s="157"/>
      <c r="M258" s="157"/>
      <c r="N258" s="157"/>
      <c r="O258" s="157"/>
      <c r="P258" s="157"/>
      <c r="Q258" s="157"/>
    </row>
    <row r="259" spans="1:29" x14ac:dyDescent="0.2">
      <c r="A259" s="24"/>
      <c r="B259" s="24"/>
      <c r="C259" s="24"/>
      <c r="D259" s="24"/>
      <c r="E259" s="24"/>
      <c r="F259" s="93"/>
      <c r="G259" s="81"/>
      <c r="H259" s="94"/>
      <c r="I259" s="94"/>
      <c r="J259" s="95"/>
      <c r="K259" s="144"/>
      <c r="L259" s="157"/>
      <c r="M259" s="157"/>
      <c r="N259" s="157"/>
      <c r="O259" s="157"/>
      <c r="P259" s="157"/>
      <c r="Q259" s="157"/>
    </row>
    <row r="260" spans="1:29" x14ac:dyDescent="0.2">
      <c r="A260" s="43" t="s">
        <v>84</v>
      </c>
      <c r="B260" s="24"/>
      <c r="C260" s="24"/>
      <c r="D260" s="24"/>
      <c r="E260" s="24"/>
      <c r="F260" s="93"/>
      <c r="G260" s="27"/>
      <c r="H260" s="27"/>
      <c r="I260" s="96"/>
      <c r="J260" s="97"/>
      <c r="K260" s="145"/>
      <c r="L260" s="157"/>
      <c r="M260" s="157"/>
      <c r="N260" s="157"/>
      <c r="O260" s="157"/>
      <c r="P260" s="157"/>
      <c r="Q260" s="157"/>
    </row>
    <row r="261" spans="1:29" x14ac:dyDescent="0.2">
      <c r="A261" s="24" t="s">
        <v>85</v>
      </c>
      <c r="B261" s="24"/>
      <c r="C261" s="24"/>
      <c r="D261" s="24"/>
      <c r="E261" s="24"/>
      <c r="F261" s="19"/>
      <c r="G261" s="99"/>
      <c r="H261" s="96"/>
      <c r="I261" s="96"/>
      <c r="J261" s="97"/>
      <c r="K261" s="145"/>
      <c r="L261" s="157"/>
      <c r="M261" s="157"/>
      <c r="N261" s="157"/>
      <c r="O261" s="157"/>
      <c r="P261" s="157"/>
      <c r="Q261" s="157"/>
    </row>
    <row r="262" spans="1:29" x14ac:dyDescent="0.2">
      <c r="A262" s="24" t="s">
        <v>86</v>
      </c>
      <c r="B262" s="24"/>
      <c r="C262" s="24"/>
      <c r="D262" s="24"/>
      <c r="E262" s="24"/>
      <c r="F262" s="19"/>
      <c r="G262" s="99"/>
      <c r="H262" s="96"/>
      <c r="I262" s="96"/>
      <c r="J262" s="97"/>
      <c r="K262" s="145"/>
      <c r="L262" s="157"/>
      <c r="M262" s="157"/>
      <c r="N262" s="157"/>
      <c r="O262" s="157"/>
      <c r="P262" s="157"/>
      <c r="Q262" s="157"/>
    </row>
    <row r="263" spans="1:29" x14ac:dyDescent="0.2">
      <c r="A263" s="24" t="s">
        <v>87</v>
      </c>
      <c r="B263" s="24"/>
      <c r="C263" s="24"/>
      <c r="D263" s="24"/>
      <c r="E263" s="24"/>
      <c r="F263" s="196"/>
      <c r="G263" s="99"/>
      <c r="H263" s="96"/>
      <c r="I263" s="96"/>
      <c r="J263" s="97"/>
      <c r="K263" s="145"/>
      <c r="L263" s="157"/>
      <c r="M263" s="157"/>
      <c r="N263" s="157"/>
      <c r="O263" s="157"/>
      <c r="P263" s="157"/>
      <c r="Q263" s="157"/>
    </row>
    <row r="264" spans="1:29" s="71" customFormat="1" ht="13.5" customHeight="1" x14ac:dyDescent="0.2">
      <c r="A264" s="28"/>
      <c r="B264" s="70"/>
      <c r="C264" s="70"/>
      <c r="D264" s="70"/>
      <c r="E264" s="70"/>
      <c r="F264" s="70"/>
      <c r="G264" s="100"/>
      <c r="H264" s="101"/>
      <c r="I264" s="101"/>
      <c r="J264" s="97"/>
      <c r="K264" s="146"/>
      <c r="L264" s="159"/>
      <c r="M264" s="158"/>
      <c r="N264" s="157"/>
      <c r="O264" s="158"/>
      <c r="P264" s="157"/>
      <c r="Q264" s="157"/>
      <c r="R264" s="147"/>
      <c r="S264" s="147"/>
      <c r="T264" s="147"/>
      <c r="U264" s="147"/>
      <c r="V264" s="147"/>
      <c r="W264" s="147"/>
      <c r="X264" s="147"/>
      <c r="Y264" s="147"/>
      <c r="Z264" s="147"/>
      <c r="AA264" s="147"/>
      <c r="AB264" s="147"/>
    </row>
    <row r="265" spans="1:29" s="71" customFormat="1" x14ac:dyDescent="0.2">
      <c r="A265" s="43" t="s">
        <v>88</v>
      </c>
      <c r="B265" s="70"/>
      <c r="C265" s="70"/>
      <c r="D265" s="70"/>
      <c r="E265" s="70"/>
      <c r="F265" s="70"/>
      <c r="G265" s="102"/>
      <c r="H265" s="101"/>
      <c r="I265" s="101"/>
      <c r="J265" s="97"/>
      <c r="K265" s="148"/>
      <c r="L265" s="157"/>
      <c r="M265" s="158"/>
      <c r="N265" s="157"/>
      <c r="O265" s="158"/>
      <c r="P265" s="157"/>
      <c r="Q265" s="157"/>
      <c r="R265" s="135"/>
      <c r="S265" s="135"/>
      <c r="T265" s="135"/>
      <c r="U265" s="135"/>
      <c r="V265" s="135"/>
      <c r="W265" s="135"/>
      <c r="X265" s="135"/>
      <c r="Y265" s="135"/>
      <c r="Z265" s="135"/>
      <c r="AA265" s="135"/>
      <c r="AB265" s="135"/>
    </row>
    <row r="266" spans="1:29" x14ac:dyDescent="0.2">
      <c r="A266" s="24" t="s">
        <v>89</v>
      </c>
      <c r="B266" s="24"/>
      <c r="C266" s="24"/>
      <c r="D266" s="24"/>
      <c r="E266" s="24"/>
      <c r="F266" s="103" t="e">
        <f>IF(E13&lt;6,"Low",IF(AND((E13&gt;5),(E13&lt;21)),"Mid","High"))</f>
        <v>#DIV/0!</v>
      </c>
      <c r="G266" s="27"/>
      <c r="H266" s="96"/>
      <c r="I266" s="96"/>
      <c r="J266" s="97"/>
      <c r="K266" s="148"/>
      <c r="L266" s="157"/>
      <c r="M266" s="157"/>
      <c r="N266" s="157"/>
      <c r="O266" s="157"/>
      <c r="P266" s="157"/>
      <c r="Q266" s="157"/>
      <c r="R266" s="135"/>
      <c r="S266" s="135"/>
      <c r="T266" s="135"/>
      <c r="U266" s="135"/>
      <c r="V266" s="135"/>
      <c r="W266" s="135"/>
      <c r="X266" s="135"/>
      <c r="Y266" s="135"/>
      <c r="Z266" s="135"/>
      <c r="AA266" s="135"/>
      <c r="AB266" s="135"/>
    </row>
    <row r="267" spans="1:29" x14ac:dyDescent="0.2">
      <c r="A267" s="24" t="s">
        <v>90</v>
      </c>
      <c r="B267" s="24"/>
      <c r="C267" s="24"/>
      <c r="D267" s="24"/>
      <c r="E267" s="24"/>
      <c r="F267" s="52">
        <f>F253</f>
        <v>0</v>
      </c>
      <c r="G267" s="104"/>
      <c r="I267" s="96"/>
      <c r="J267" s="97"/>
      <c r="K267" s="149"/>
      <c r="L267" s="157" t="s">
        <v>91</v>
      </c>
      <c r="M267" s="157">
        <v>2004</v>
      </c>
      <c r="N267" s="157">
        <v>2005</v>
      </c>
      <c r="O267" s="157">
        <v>2006</v>
      </c>
      <c r="P267" s="157">
        <v>2007</v>
      </c>
      <c r="Q267" s="194">
        <v>2008</v>
      </c>
      <c r="R267" s="195">
        <v>2009</v>
      </c>
      <c r="S267" s="194">
        <v>2010</v>
      </c>
      <c r="T267" s="195">
        <v>2011</v>
      </c>
      <c r="U267" s="194">
        <v>2012</v>
      </c>
      <c r="V267" s="195">
        <v>2013</v>
      </c>
      <c r="W267" s="194">
        <v>2014</v>
      </c>
      <c r="X267" s="195">
        <v>2015</v>
      </c>
      <c r="Y267" s="194">
        <v>2016</v>
      </c>
      <c r="Z267" s="195">
        <v>2017</v>
      </c>
      <c r="AA267" s="194">
        <v>2018</v>
      </c>
      <c r="AB267" s="195">
        <v>2019</v>
      </c>
      <c r="AC267" s="157" t="s">
        <v>92</v>
      </c>
    </row>
    <row r="268" spans="1:29" x14ac:dyDescent="0.2">
      <c r="A268" s="24" t="s">
        <v>93</v>
      </c>
      <c r="B268" s="24"/>
      <c r="C268" s="24"/>
      <c r="D268" s="24"/>
      <c r="E268" s="42"/>
      <c r="F268" s="52" t="e">
        <f>AC268</f>
        <v>#DIV/0!</v>
      </c>
      <c r="G268" s="104"/>
      <c r="H268" s="96"/>
      <c r="I268" s="96"/>
      <c r="J268" s="97"/>
      <c r="K268" s="150"/>
      <c r="L268" s="167"/>
      <c r="M268" s="197" t="e">
        <f>IF($E$16&lt;2005,IF($F$266="Low",M269,IF($F$266="Mid",M270,IF($F$266="High",M271,"Invalid"))))</f>
        <v>#DIV/0!</v>
      </c>
      <c r="N268" s="197" t="b">
        <f>IF($E$16=2005,IF($F$266="Low",N269,IF($F$266="Mid",N270,IF($F$266="High",N271,"Invalid"))))</f>
        <v>0</v>
      </c>
      <c r="O268" s="197" t="b">
        <f>IF($E$16=2006,IF($F$266="Low",O269,IF($F$266="Mid",O270,IF($F$266="High",O271,"Invalid"))))</f>
        <v>0</v>
      </c>
      <c r="P268" s="197" t="b">
        <f>IF($E$16=2007,IF($F$266="Low",P269,IF($F$266="Mid",P270,IF($F$266="High",P271,"Invalid"))))</f>
        <v>0</v>
      </c>
      <c r="Q268" s="198" t="b">
        <f>IF($E$16=2008,IF($F$266="Low",Q269,IF($F$266="Mid",Q270,IF($F$266="High",Q271,"Invalid"))))</f>
        <v>0</v>
      </c>
      <c r="R268" s="199" t="b">
        <f>IF($E$16=2009,IF($F$266="Low",R269,IF($F$266="Mid",R270,IF($F$266="High",R271,"Invalid"))))</f>
        <v>0</v>
      </c>
      <c r="S268" s="199" t="b">
        <f>IF($E$16=2010,IF($F$266="Low",S269,IF($F$266="Mid",S270,IF($F$266="High",S271,"Invalid"))))</f>
        <v>0</v>
      </c>
      <c r="T268" s="199" t="b">
        <f>IF($E$16=2011,IF($F$266="Low",T269,IF($F$266="Mid",T270,IF($F$266="High",T271,"Invalid"))))</f>
        <v>0</v>
      </c>
      <c r="U268" s="199" t="b">
        <f>IF($E$16=2012,IF($F$266="Low",U269,IF($F$266="Mid",U270,IF($F$266="High",U271,"Invalid"))))</f>
        <v>0</v>
      </c>
      <c r="V268" s="199" t="b">
        <f>IF($E$16=2013,IF($F$266="Low",V269,IF($F$266="Mid",V270,IF($F$266="High",V271,"Invalid"))))</f>
        <v>0</v>
      </c>
      <c r="W268" s="199" t="b">
        <f>IF($E$16=2014,IF($F$266="Low",W269,IF($F$266="Mid",W270,IF($F$266="High",W271,"Invalid"))))</f>
        <v>0</v>
      </c>
      <c r="X268" s="199" t="b">
        <f>IF($E$16=2015,IF($F$266="Low",X269,IF($F$266="Mid",X270,IF($F$266="High",X271,"Invalid"))))</f>
        <v>0</v>
      </c>
      <c r="Y268" s="199" t="b">
        <f>IF($E$16=2016,IF($F$266="Low",Y269,IF($F$266="Mid",Y270,IF($F$266="High",Y271,"Invalid"))))</f>
        <v>0</v>
      </c>
      <c r="Z268" s="199" t="b">
        <f>IF($E$16=2017,IF($F$266="Low",Z269,IF($F$266="Mid",Z270,IF($F$266="High",Z271,"Invalid"))))</f>
        <v>0</v>
      </c>
      <c r="AA268" s="199" t="b">
        <f>IF($E$16=2018,IF($F$266="Low",AA269,IF($F$266="Mid",AA270,IF($F$266="High",AA271,"Invalid"))))</f>
        <v>0</v>
      </c>
      <c r="AB268" s="199" t="b">
        <f>IF($E$16&gt;=2019,IF($F$266="Low",AB269,IF($F$266="Mid",AB270,IF($F$266="High",AB271,"Invalid"))))</f>
        <v>0</v>
      </c>
      <c r="AC268" s="197" t="e">
        <f>SUM(M268:AB268)</f>
        <v>#DIV/0!</v>
      </c>
    </row>
    <row r="269" spans="1:29" x14ac:dyDescent="0.2">
      <c r="A269" s="24" t="s">
        <v>94</v>
      </c>
      <c r="B269" s="24"/>
      <c r="C269" s="24"/>
      <c r="D269" s="24"/>
      <c r="E269" s="42"/>
      <c r="F269" s="80" t="e">
        <f>IF(F267&lt;F268, F267, F268)</f>
        <v>#DIV/0!</v>
      </c>
      <c r="G269" s="72"/>
      <c r="H269" s="96"/>
      <c r="I269" s="96"/>
      <c r="J269" s="97"/>
      <c r="K269" s="151"/>
      <c r="L269" s="167" t="s">
        <v>95</v>
      </c>
      <c r="M269" s="197">
        <f>($F$261*Construction_Cost_Values!B9)+($F$262*Construction_Cost_Values!C9)+($F$263*0.5*Construction_Cost_Values!B9)</f>
        <v>0</v>
      </c>
      <c r="N269" s="197">
        <f>($F$261*Construction_Cost_Values!B19)+($F$262*Construction_Cost_Values!C19)+($F$263*0.5*Construction_Cost_Values!B19)</f>
        <v>0</v>
      </c>
      <c r="O269" s="197">
        <f>($F$261*Construction_Cost_Values!B29)+($F$262*Construction_Cost_Values!C29)+($F$263*Construction_Cost_Values!B29*0.5)</f>
        <v>0</v>
      </c>
      <c r="P269" s="197">
        <f>($F$261*Construction_Cost_Values!B39)+($F$262*Construction_Cost_Values!C39)+($F$263*0.5*Construction_Cost_Values!B39)</f>
        <v>0</v>
      </c>
      <c r="Q269" s="198">
        <f>($F$261*Construction_Cost_Values!B49)+($F$262*Construction_Cost_Values!C49)+($F$263*0.5*Construction_Cost_Values!B49)</f>
        <v>0</v>
      </c>
      <c r="R269" s="199">
        <f>($F$261*Construction_Cost_Values!B59)+($F$262*Construction_Cost_Values!C59)+($F$263*0.5*Construction_Cost_Values!B59)</f>
        <v>0</v>
      </c>
      <c r="S269" s="199">
        <f>($F$261*Construction_Cost_Values!B69)+($F$262*Construction_Cost_Values!C69)+($F$263*0.5*Construction_Cost_Values!B69)</f>
        <v>0</v>
      </c>
      <c r="T269" s="199">
        <f>($F$261*Construction_Cost_Values!$B79)+($F$262*Construction_Cost_Values!$C79)+($F$263*0.5*Construction_Cost_Values!$B79)</f>
        <v>0</v>
      </c>
      <c r="U269" s="199">
        <f>($F$261*Construction_Cost_Values!$B79)+($F$262*Construction_Cost_Values!$C79)+($F$263*0.5*Construction_Cost_Values!$B79)</f>
        <v>0</v>
      </c>
      <c r="V269" s="199">
        <f>($F$261*Construction_Cost_Values!$B79)+($F$262*Construction_Cost_Values!$C79)+($F$263*0.5*Construction_Cost_Values!$B79)</f>
        <v>0</v>
      </c>
      <c r="W269" s="199">
        <f>($F$261*Construction_Cost_Values!$B89)+($F$262*Construction_Cost_Values!$C89)+($F$263*0.5*Construction_Cost_Values!$B89)</f>
        <v>0</v>
      </c>
      <c r="X269" s="199">
        <f>($F$261*Construction_Cost_Values!$B89)+($F$262*Construction_Cost_Values!$C89)+($F$263*0.5*Construction_Cost_Values!$B89)</f>
        <v>0</v>
      </c>
      <c r="Y269" s="199">
        <f>($F$261*Construction_Cost_Values!$B89)+($F$262*Construction_Cost_Values!$C89)+($F$263*0.5*Construction_Cost_Values!$B89)</f>
        <v>0</v>
      </c>
      <c r="Z269" s="199">
        <f>($F$261*Construction_Cost_Values!$B99)+($F$262*Construction_Cost_Values!$C99)+($F$263*0.5*Construction_Cost_Values!$B99)</f>
        <v>0</v>
      </c>
      <c r="AA269" s="199">
        <f>($F$261*Construction_Cost_Values!$B99)+($F$262*Construction_Cost_Values!$C99)+($F$263*0.5*Construction_Cost_Values!$B99)</f>
        <v>0</v>
      </c>
      <c r="AB269" s="199">
        <f>($F$261*Construction_Cost_Values!$B99)+($F$262*Construction_Cost_Values!$C99)+($F$263*0.5*Construction_Cost_Values!$B99)</f>
        <v>0</v>
      </c>
    </row>
    <row r="270" spans="1:29" x14ac:dyDescent="0.2">
      <c r="A270" s="98"/>
      <c r="B270" s="24"/>
      <c r="C270" s="24"/>
      <c r="D270" s="24"/>
      <c r="E270" s="42"/>
      <c r="F270" s="105"/>
      <c r="G270" s="27"/>
      <c r="H270" s="96"/>
      <c r="I270" s="96"/>
      <c r="J270" s="97"/>
      <c r="K270" s="151"/>
      <c r="L270" s="167" t="s">
        <v>96</v>
      </c>
      <c r="M270" s="197">
        <f>($F$261*Construction_Cost_Values!B10)+($F$262*Construction_Cost_Values!C10)+($F$263*0.5*Construction_Cost_Values!B10)</f>
        <v>0</v>
      </c>
      <c r="N270" s="197">
        <f>($F$261*Construction_Cost_Values!B20)+($F$262*Construction_Cost_Values!C20)+($F$263*0.5*Construction_Cost_Values!B20)</f>
        <v>0</v>
      </c>
      <c r="O270" s="197">
        <f>($F$261*Construction_Cost_Values!B30)+($F$262*Construction_Cost_Values!C30)+($F$263*Construction_Cost_Values!B30*0.5)</f>
        <v>0</v>
      </c>
      <c r="P270" s="197">
        <f>($F$261*Construction_Cost_Values!B40)+($F$262*Construction_Cost_Values!C40)+($F$263*0.5*Construction_Cost_Values!B40)</f>
        <v>0</v>
      </c>
      <c r="Q270" s="198">
        <f>($F$261*Construction_Cost_Values!B50)+($F$262*Construction_Cost_Values!C50)+($F$263*0.5*Construction_Cost_Values!B50)</f>
        <v>0</v>
      </c>
      <c r="R270" s="199">
        <f>($F$261*Construction_Cost_Values!B60)+($F$262*Construction_Cost_Values!C60)+($F$263*0.5*Construction_Cost_Values!B60)</f>
        <v>0</v>
      </c>
      <c r="S270" s="199">
        <f>($F$261*Construction_Cost_Values!B70)+($F$262*Construction_Cost_Values!C70)+($F$263*0.5*Construction_Cost_Values!B70)</f>
        <v>0</v>
      </c>
      <c r="T270" s="199">
        <f>($F$261*Construction_Cost_Values!$B80)+($F$262*Construction_Cost_Values!$C80)+($F$263*0.5*Construction_Cost_Values!$B80)</f>
        <v>0</v>
      </c>
      <c r="U270" s="199">
        <f>($F$261*Construction_Cost_Values!$B80)+($F$262*Construction_Cost_Values!$C80)+($F$263*0.5*Construction_Cost_Values!$B80)</f>
        <v>0</v>
      </c>
      <c r="V270" s="199">
        <f>($F$261*Construction_Cost_Values!$B80)+($F$262*Construction_Cost_Values!$C80)+($F$263*0.5*Construction_Cost_Values!$B80)</f>
        <v>0</v>
      </c>
      <c r="W270" s="199">
        <f>($F$261*Construction_Cost_Values!$B90)+($F$262*Construction_Cost_Values!$C90)+($F$263*0.5*Construction_Cost_Values!$B90)</f>
        <v>0</v>
      </c>
      <c r="X270" s="199">
        <f>($F$261*Construction_Cost_Values!$B90)+($F$262*Construction_Cost_Values!$C90)+($F$263*0.5*Construction_Cost_Values!$B90)</f>
        <v>0</v>
      </c>
      <c r="Y270" s="199">
        <f>($F$261*Construction_Cost_Values!$B90)+($F$262*Construction_Cost_Values!$C90)+($F$263*0.5*Construction_Cost_Values!$B90)</f>
        <v>0</v>
      </c>
      <c r="Z270" s="199">
        <f>($F$261*Construction_Cost_Values!$B100)+($F$262*Construction_Cost_Values!$C100)+($F$263*0.5*Construction_Cost_Values!$B100)</f>
        <v>0</v>
      </c>
      <c r="AA270" s="199">
        <f>($F$261*Construction_Cost_Values!$B100)+($F$262*Construction_Cost_Values!$C100)+($F$263*0.5*Construction_Cost_Values!$B100)</f>
        <v>0</v>
      </c>
      <c r="AB270" s="199">
        <f>($F$261*Construction_Cost_Values!$B100)+($F$262*Construction_Cost_Values!$C100)+($F$263*0.5*Construction_Cost_Values!$B100)</f>
        <v>0</v>
      </c>
    </row>
    <row r="271" spans="1:29" x14ac:dyDescent="0.2">
      <c r="A271" s="24" t="s">
        <v>97</v>
      </c>
      <c r="B271" s="24"/>
      <c r="C271" s="24"/>
      <c r="D271" s="24"/>
      <c r="E271" s="24"/>
      <c r="F271" s="106" t="e">
        <f>F252+F269+F255+F256+F257</f>
        <v>#DIV/0!</v>
      </c>
      <c r="G271" s="81"/>
      <c r="H271" s="96"/>
      <c r="I271" s="96"/>
      <c r="J271" s="107"/>
      <c r="K271" s="152"/>
      <c r="L271" s="167" t="s">
        <v>98</v>
      </c>
      <c r="M271" s="197">
        <f>($F$261*Construction_Cost_Values!B11)+($F$262*Construction_Cost_Values!C11)+($F$263*0.5*Construction_Cost_Values!B11)</f>
        <v>0</v>
      </c>
      <c r="N271" s="197">
        <f>($F$261*Construction_Cost_Values!B21)+($F$262*Construction_Cost_Values!C21)+($F$263*0.5*Construction_Cost_Values!B21)</f>
        <v>0</v>
      </c>
      <c r="O271" s="197">
        <f>($F$261*Construction_Cost_Values!B31)+($F$262*Construction_Cost_Values!C31)+($F$263*Construction_Cost_Values!B31*0.5)</f>
        <v>0</v>
      </c>
      <c r="P271" s="197">
        <f>($F$261*Construction_Cost_Values!B41)+($F$262*Construction_Cost_Values!C41)+($F$263*0.5*Construction_Cost_Values!B41)</f>
        <v>0</v>
      </c>
      <c r="Q271" s="198">
        <f>($F$261*Construction_Cost_Values!B51)+($F$262*Construction_Cost_Values!C51)+($F$263*0.5*Construction_Cost_Values!B51)</f>
        <v>0</v>
      </c>
      <c r="R271" s="199">
        <f>($F$261*Construction_Cost_Values!B61)+($F$262*Construction_Cost_Values!C61)+($F$263*0.5*Construction_Cost_Values!B61)</f>
        <v>0</v>
      </c>
      <c r="S271" s="199">
        <f>($F$261*Construction_Cost_Values!B71)+($F$262*Construction_Cost_Values!C71)+($F$263*0.5*Construction_Cost_Values!B71)</f>
        <v>0</v>
      </c>
      <c r="T271" s="199">
        <f>($F$261*Construction_Cost_Values!$B81)+($F$262*Construction_Cost_Values!$C81)+($F$263*0.5*Construction_Cost_Values!$B81)</f>
        <v>0</v>
      </c>
      <c r="U271" s="199">
        <f>($F$261*Construction_Cost_Values!$B81)+($F$262*Construction_Cost_Values!$C81)+($F$263*0.5*Construction_Cost_Values!$B81)</f>
        <v>0</v>
      </c>
      <c r="V271" s="199">
        <f>($F$261*Construction_Cost_Values!$B81)+($F$262*Construction_Cost_Values!$C81)+($F$263*0.5*Construction_Cost_Values!$B81)</f>
        <v>0</v>
      </c>
      <c r="W271" s="199">
        <f>($F$261*Construction_Cost_Values!$B91)+($F$262*Construction_Cost_Values!$C91)+($F$263*0.5*Construction_Cost_Values!$B91)</f>
        <v>0</v>
      </c>
      <c r="X271" s="199">
        <f>($F$261*Construction_Cost_Values!$B91)+($F$262*Construction_Cost_Values!$C91)+($F$263*0.5*Construction_Cost_Values!$B91)</f>
        <v>0</v>
      </c>
      <c r="Y271" s="199">
        <f>($F$261*Construction_Cost_Values!$B91)+($F$262*Construction_Cost_Values!$C91)+($F$263*0.5*Construction_Cost_Values!$B91)</f>
        <v>0</v>
      </c>
      <c r="Z271" s="199">
        <f>($F$261*Construction_Cost_Values!$B101)+($F$262*Construction_Cost_Values!$C101)+($F$263*0.5*Construction_Cost_Values!$B101)</f>
        <v>0</v>
      </c>
      <c r="AA271" s="199">
        <f>($F$261*Construction_Cost_Values!$B101)+($F$262*Construction_Cost_Values!$C101)+($F$263*0.5*Construction_Cost_Values!$B101)</f>
        <v>0</v>
      </c>
      <c r="AB271" s="199">
        <f>($F$261*Construction_Cost_Values!$B101)+($F$262*Construction_Cost_Values!$C101)+($F$263*0.5*Construction_Cost_Values!$B101)</f>
        <v>0</v>
      </c>
    </row>
    <row r="272" spans="1:29" x14ac:dyDescent="0.2">
      <c r="A272" s="24" t="s">
        <v>99</v>
      </c>
      <c r="B272" s="24"/>
      <c r="C272" s="24"/>
      <c r="D272" s="24"/>
      <c r="E272" s="24"/>
      <c r="F272" s="80" t="e">
        <f>F271*0.14</f>
        <v>#DIV/0!</v>
      </c>
      <c r="G272" s="81"/>
      <c r="H272" s="96"/>
      <c r="I272" s="96"/>
      <c r="J272" s="107"/>
      <c r="K272" s="152"/>
      <c r="L272" s="157"/>
      <c r="M272" s="157"/>
      <c r="N272" s="157"/>
      <c r="O272" s="157"/>
      <c r="P272" s="157"/>
      <c r="Q272" s="157"/>
      <c r="R272" s="135"/>
      <c r="S272" s="135"/>
      <c r="T272" s="135"/>
      <c r="U272" s="135"/>
      <c r="V272" s="135"/>
      <c r="W272" s="135"/>
      <c r="X272" s="135"/>
      <c r="Y272" s="135"/>
      <c r="Z272" s="135"/>
      <c r="AA272" s="135"/>
      <c r="AB272" s="135"/>
    </row>
    <row r="273" spans="1:28" x14ac:dyDescent="0.2">
      <c r="A273" s="33"/>
      <c r="B273" s="24"/>
      <c r="C273" s="24"/>
      <c r="D273" s="24"/>
      <c r="E273" s="93"/>
      <c r="F273" s="24"/>
      <c r="G273" s="27"/>
      <c r="H273" s="42"/>
      <c r="I273" s="108"/>
      <c r="J273" s="109"/>
      <c r="K273" s="153"/>
      <c r="L273" s="157"/>
      <c r="M273" s="157"/>
      <c r="N273" s="157"/>
      <c r="O273" s="157"/>
      <c r="P273" s="157"/>
      <c r="Q273" s="157"/>
      <c r="R273" s="135"/>
      <c r="S273" s="135"/>
      <c r="T273" s="135"/>
      <c r="U273" s="135"/>
      <c r="V273" s="135"/>
      <c r="W273" s="135"/>
      <c r="X273" s="135"/>
      <c r="Y273" s="135"/>
      <c r="Z273" s="135"/>
      <c r="AA273" s="135"/>
      <c r="AB273" s="135"/>
    </row>
    <row r="274" spans="1:28" x14ac:dyDescent="0.2">
      <c r="A274" s="33"/>
      <c r="B274" s="24"/>
      <c r="C274" s="24"/>
      <c r="D274" s="24"/>
      <c r="E274" s="93"/>
      <c r="F274" s="24"/>
      <c r="G274" s="42"/>
      <c r="H274" s="42"/>
      <c r="I274" s="42"/>
      <c r="J274" s="109"/>
      <c r="K274" s="153"/>
      <c r="L274" s="157"/>
      <c r="M274" s="157"/>
      <c r="N274" s="157"/>
      <c r="O274" s="157"/>
      <c r="P274" s="157"/>
      <c r="Q274" s="157"/>
      <c r="R274" s="135"/>
      <c r="S274" s="135"/>
      <c r="T274" s="135"/>
      <c r="U274" s="135"/>
      <c r="V274" s="135"/>
      <c r="W274" s="135"/>
      <c r="X274" s="135"/>
      <c r="Y274" s="135"/>
      <c r="Z274" s="135"/>
      <c r="AA274" s="135"/>
      <c r="AB274" s="135"/>
    </row>
    <row r="275" spans="1:28" ht="18.75" thickBot="1" x14ac:dyDescent="0.3">
      <c r="A275" s="20" t="s">
        <v>100</v>
      </c>
      <c r="B275" s="21"/>
      <c r="C275" s="21"/>
      <c r="D275" s="21"/>
      <c r="E275" s="110"/>
      <c r="F275" s="110"/>
      <c r="G275" s="110"/>
      <c r="H275" s="111"/>
      <c r="I275" s="111"/>
      <c r="J275" s="112"/>
      <c r="K275" s="154"/>
      <c r="L275" s="157"/>
      <c r="M275" s="157"/>
      <c r="N275" s="157"/>
      <c r="O275" s="157"/>
      <c r="P275" s="157"/>
      <c r="Q275" s="157"/>
    </row>
    <row r="276" spans="1:28" s="71" customFormat="1" x14ac:dyDescent="0.2">
      <c r="A276" s="43"/>
      <c r="B276" s="33"/>
      <c r="C276" s="33"/>
      <c r="D276" s="33"/>
      <c r="E276" s="51"/>
      <c r="F276" s="51"/>
      <c r="G276" s="51"/>
      <c r="H276" s="113"/>
      <c r="I276" s="113"/>
      <c r="J276" s="114"/>
      <c r="K276" s="155"/>
      <c r="L276" s="157"/>
      <c r="M276" s="157"/>
      <c r="N276" s="157"/>
      <c r="O276" s="157"/>
      <c r="P276" s="157"/>
      <c r="Q276" s="157"/>
      <c r="R276" s="142"/>
      <c r="S276" s="142"/>
      <c r="T276" s="142"/>
      <c r="U276" s="142"/>
      <c r="V276" s="142"/>
      <c r="W276" s="142"/>
      <c r="X276" s="142"/>
      <c r="Y276" s="142"/>
      <c r="Z276" s="142"/>
      <c r="AA276" s="142"/>
      <c r="AB276" s="142"/>
    </row>
    <row r="277" spans="1:28" s="71" customFormat="1" x14ac:dyDescent="0.2">
      <c r="A277" s="43" t="s">
        <v>101</v>
      </c>
      <c r="B277" s="33"/>
      <c r="C277" s="33"/>
      <c r="D277" s="33"/>
      <c r="E277" s="51"/>
      <c r="F277" s="115" t="e">
        <f>I38+G145+F272-E21</f>
        <v>#DIV/0!</v>
      </c>
      <c r="G277" s="297"/>
      <c r="H277" s="273"/>
      <c r="I277" s="298" t="s">
        <v>200</v>
      </c>
      <c r="J277" s="84"/>
      <c r="K277" s="156"/>
      <c r="L277" s="157"/>
      <c r="M277" s="157"/>
      <c r="N277" s="157"/>
      <c r="O277" s="157"/>
      <c r="P277" s="157"/>
      <c r="Q277" s="157"/>
      <c r="R277" s="142"/>
      <c r="S277" s="142"/>
      <c r="T277" s="142"/>
      <c r="U277" s="142"/>
      <c r="V277" s="142"/>
      <c r="W277" s="142"/>
      <c r="X277" s="142"/>
      <c r="Y277" s="142"/>
      <c r="Z277" s="142"/>
      <c r="AA277" s="142"/>
      <c r="AB277" s="142"/>
    </row>
    <row r="278" spans="1:28" s="71" customFormat="1" x14ac:dyDescent="0.2">
      <c r="A278" s="43" t="s">
        <v>102</v>
      </c>
      <c r="B278" s="33"/>
      <c r="C278" s="33"/>
      <c r="D278" s="33"/>
      <c r="E278" s="51"/>
      <c r="F278" s="115" t="e">
        <f>F277/12</f>
        <v>#DIV/0!</v>
      </c>
      <c r="G278" s="297"/>
      <c r="H278" s="273"/>
      <c r="I278" s="299"/>
      <c r="J278" s="84"/>
      <c r="K278" s="156"/>
      <c r="L278" s="157"/>
      <c r="M278" s="157"/>
      <c r="N278" s="157"/>
      <c r="O278" s="157"/>
      <c r="P278" s="157"/>
      <c r="Q278" s="157"/>
      <c r="R278" s="142"/>
      <c r="S278" s="142"/>
      <c r="T278" s="142"/>
      <c r="U278" s="142"/>
      <c r="V278" s="142"/>
      <c r="W278" s="142"/>
      <c r="X278" s="142"/>
      <c r="Y278" s="142"/>
      <c r="Z278" s="142"/>
      <c r="AA278" s="142"/>
      <c r="AB278" s="142"/>
    </row>
    <row r="279" spans="1:28" s="71" customFormat="1" x14ac:dyDescent="0.2">
      <c r="A279" s="43" t="s">
        <v>103</v>
      </c>
      <c r="B279" s="33"/>
      <c r="C279" s="33"/>
      <c r="D279" s="33"/>
      <c r="E279" s="51"/>
      <c r="F279" s="116" t="e">
        <f>F278/E12</f>
        <v>#DIV/0!</v>
      </c>
      <c r="G279" s="297"/>
      <c r="H279" s="300"/>
      <c r="I279" s="301"/>
      <c r="J279" s="84"/>
      <c r="K279" s="156"/>
      <c r="L279" s="157"/>
      <c r="M279" s="157"/>
      <c r="N279" s="157"/>
      <c r="O279" s="157"/>
      <c r="P279" s="157"/>
      <c r="Q279" s="157"/>
      <c r="R279" s="142"/>
      <c r="S279" s="142"/>
      <c r="T279" s="142"/>
      <c r="U279" s="142"/>
      <c r="V279" s="142"/>
      <c r="W279" s="142"/>
      <c r="X279" s="142"/>
      <c r="Y279" s="142"/>
      <c r="Z279" s="142"/>
      <c r="AA279" s="142"/>
      <c r="AB279" s="142"/>
    </row>
    <row r="280" spans="1:28" s="71" customFormat="1" x14ac:dyDescent="0.2">
      <c r="A280" s="43"/>
      <c r="B280" s="33"/>
      <c r="C280" s="33"/>
      <c r="D280" s="33"/>
      <c r="E280" s="51"/>
      <c r="F280" s="117"/>
      <c r="G280" s="300"/>
      <c r="H280" s="300"/>
      <c r="I280" s="301"/>
      <c r="J280" s="84"/>
      <c r="K280" s="156"/>
      <c r="L280" s="157"/>
      <c r="M280" s="157"/>
      <c r="N280" s="157"/>
      <c r="O280" s="157"/>
      <c r="P280" s="157"/>
      <c r="Q280" s="157"/>
      <c r="R280" s="142"/>
      <c r="S280" s="142"/>
      <c r="T280" s="142"/>
      <c r="U280" s="142"/>
      <c r="V280" s="142"/>
      <c r="W280" s="142"/>
      <c r="X280" s="142"/>
      <c r="Y280" s="142"/>
      <c r="Z280" s="142"/>
      <c r="AA280" s="142"/>
      <c r="AB280" s="142"/>
    </row>
    <row r="281" spans="1:28" s="71" customFormat="1" x14ac:dyDescent="0.2">
      <c r="A281" s="33"/>
      <c r="B281" s="33"/>
      <c r="C281" s="33"/>
      <c r="D281" s="33"/>
      <c r="E281" s="33"/>
      <c r="F281" s="118" t="s">
        <v>104</v>
      </c>
      <c r="G281" s="212" t="s">
        <v>105</v>
      </c>
      <c r="H281" s="212" t="s">
        <v>106</v>
      </c>
      <c r="I281" s="299"/>
      <c r="J281" s="119"/>
      <c r="K281" s="156"/>
      <c r="L281" s="157"/>
      <c r="M281" s="157"/>
      <c r="N281" s="157"/>
      <c r="O281" s="157"/>
      <c r="P281" s="157"/>
      <c r="Q281" s="157"/>
      <c r="R281" s="142"/>
      <c r="S281" s="142"/>
      <c r="T281" s="142"/>
      <c r="U281" s="142"/>
      <c r="V281" s="142"/>
      <c r="W281" s="142"/>
      <c r="X281" s="142"/>
      <c r="Y281" s="142"/>
      <c r="Z281" s="142"/>
      <c r="AA281" s="142"/>
      <c r="AB281" s="142"/>
    </row>
    <row r="282" spans="1:28" x14ac:dyDescent="0.2">
      <c r="A282" s="24" t="s">
        <v>107</v>
      </c>
      <c r="B282" s="24"/>
      <c r="C282" s="24"/>
      <c r="D282" s="24"/>
      <c r="E282" s="24"/>
      <c r="F282" s="120">
        <f>E20*12</f>
        <v>0</v>
      </c>
      <c r="G282" s="298">
        <f>F282/12</f>
        <v>0</v>
      </c>
      <c r="H282" s="298" t="e">
        <f>G282/E12</f>
        <v>#DIV/0!</v>
      </c>
      <c r="I282" s="302" t="e">
        <f>IF(H282&gt;H283,"FAIL","PASS")</f>
        <v>#DIV/0!</v>
      </c>
      <c r="J282" s="24"/>
      <c r="K282" s="156"/>
      <c r="L282" s="157"/>
      <c r="M282" s="157"/>
      <c r="N282" s="157"/>
      <c r="O282" s="157"/>
      <c r="P282" s="157"/>
      <c r="Q282" s="157"/>
    </row>
    <row r="283" spans="1:28" x14ac:dyDescent="0.2">
      <c r="A283" s="24" t="s">
        <v>108</v>
      </c>
      <c r="B283" s="24"/>
      <c r="C283" s="24"/>
      <c r="D283" s="24"/>
      <c r="E283" s="24"/>
      <c r="F283" s="91" t="e">
        <f>F277</f>
        <v>#DIV/0!</v>
      </c>
      <c r="G283" s="91" t="e">
        <f>F283/12</f>
        <v>#DIV/0!</v>
      </c>
      <c r="H283" s="91" t="e">
        <f>G283/E12</f>
        <v>#DIV/0!</v>
      </c>
      <c r="I283" s="24"/>
      <c r="K283" s="134"/>
      <c r="L283" s="157"/>
      <c r="M283" s="157"/>
      <c r="N283" s="157"/>
      <c r="O283" s="157"/>
      <c r="P283" s="157"/>
      <c r="Q283" s="157"/>
    </row>
    <row r="284" spans="1:28" x14ac:dyDescent="0.2">
      <c r="A284" s="24" t="s">
        <v>109</v>
      </c>
      <c r="B284" s="24"/>
      <c r="C284" s="24"/>
      <c r="D284" s="24"/>
      <c r="E284" s="24"/>
      <c r="F284" s="120" t="e">
        <f>IF(F282&lt;F283,F282,F283)</f>
        <v>#DIV/0!</v>
      </c>
      <c r="G284" s="24"/>
      <c r="I284" s="24"/>
      <c r="J284" s="84"/>
      <c r="K284" s="134"/>
      <c r="L284" s="157"/>
      <c r="M284" s="157"/>
      <c r="N284" s="157"/>
      <c r="O284" s="157"/>
      <c r="P284" s="157"/>
      <c r="Q284" s="157"/>
    </row>
    <row r="285" spans="1:28" x14ac:dyDescent="0.2">
      <c r="A285" s="24" t="s">
        <v>110</v>
      </c>
      <c r="B285" s="24"/>
      <c r="C285" s="24"/>
      <c r="D285" s="24"/>
      <c r="E285" s="24"/>
      <c r="F285" s="121" t="e">
        <f>F284/12</f>
        <v>#DIV/0!</v>
      </c>
      <c r="G285" s="24"/>
      <c r="H285" s="24"/>
      <c r="I285" s="24"/>
      <c r="J285" s="84"/>
      <c r="K285" s="134"/>
      <c r="L285" s="157"/>
      <c r="M285" s="157"/>
      <c r="N285" s="157"/>
      <c r="O285" s="157"/>
      <c r="P285" s="157"/>
      <c r="Q285" s="157"/>
    </row>
    <row r="286" spans="1:28" x14ac:dyDescent="0.2">
      <c r="A286" s="24" t="s">
        <v>111</v>
      </c>
      <c r="B286" s="24"/>
      <c r="C286" s="24"/>
      <c r="D286" s="24"/>
      <c r="E286" s="24"/>
      <c r="F286" s="91" t="str">
        <f>IF(E12="","", F284/E12)</f>
        <v/>
      </c>
      <c r="G286" s="24"/>
      <c r="H286" s="24"/>
      <c r="I286" s="24"/>
      <c r="J286" s="84"/>
      <c r="K286" s="134"/>
      <c r="L286" s="157"/>
      <c r="M286" s="157"/>
      <c r="N286" s="157"/>
      <c r="O286" s="157"/>
      <c r="P286" s="157"/>
      <c r="Q286" s="157"/>
    </row>
    <row r="287" spans="1:28" x14ac:dyDescent="0.2">
      <c r="A287" s="24" t="s">
        <v>112</v>
      </c>
      <c r="B287" s="24"/>
      <c r="C287" s="24"/>
      <c r="D287" s="24"/>
      <c r="E287" s="24"/>
      <c r="F287" s="122" t="str">
        <f>IF(F286="","",F286/12)</f>
        <v/>
      </c>
      <c r="G287" s="24"/>
      <c r="H287" s="24"/>
      <c r="I287" s="47"/>
      <c r="J287" s="84"/>
      <c r="K287" s="134"/>
      <c r="L287" s="157"/>
      <c r="M287" s="157"/>
      <c r="N287" s="157"/>
      <c r="O287" s="157"/>
      <c r="P287" s="157"/>
      <c r="Q287" s="157"/>
    </row>
    <row r="288" spans="1:28" x14ac:dyDescent="0.2">
      <c r="A288" s="24"/>
      <c r="B288" s="24"/>
      <c r="C288" s="24"/>
      <c r="D288" s="24"/>
      <c r="E288" s="24"/>
      <c r="F288" s="24"/>
      <c r="G288" s="24"/>
      <c r="H288" s="24"/>
      <c r="I288" s="123"/>
      <c r="J288" s="84"/>
      <c r="K288" s="134"/>
    </row>
    <row r="289" spans="1:10" x14ac:dyDescent="0.2">
      <c r="A289" s="124"/>
      <c r="B289" s="24"/>
      <c r="C289" s="24"/>
      <c r="D289" s="24"/>
      <c r="E289" s="24"/>
      <c r="F289" s="24"/>
      <c r="G289" s="24"/>
      <c r="H289" s="24"/>
      <c r="J289" s="24"/>
    </row>
    <row r="290" spans="1:10" x14ac:dyDescent="0.2">
      <c r="A290" s="24"/>
      <c r="B290" s="24"/>
      <c r="C290" s="24"/>
      <c r="D290" s="24"/>
      <c r="E290" s="24"/>
      <c r="F290" s="24"/>
      <c r="G290" s="24"/>
      <c r="H290" s="24"/>
      <c r="I290" s="24"/>
      <c r="J290" s="24"/>
    </row>
  </sheetData>
  <sheetProtection password="885B" sheet="1" objects="1" scenarios="1" formatCells="0" formatColumns="0" formatRows="0" selectLockedCells="1"/>
  <mergeCells count="3">
    <mergeCell ref="H150:J150"/>
    <mergeCell ref="O43:P43"/>
    <mergeCell ref="L43:N43"/>
  </mergeCells>
  <phoneticPr fontId="7" type="noConversion"/>
  <conditionalFormatting sqref="F285 F287">
    <cfRule type="expression" dxfId="9" priority="21" stopIfTrue="1">
      <formula>$H$282&gt;$H$283</formula>
    </cfRule>
    <cfRule type="expression" dxfId="8" priority="22" stopIfTrue="1">
      <formula>$H$282&lt;=$H$283</formula>
    </cfRule>
  </conditionalFormatting>
  <conditionalFormatting sqref="H282">
    <cfRule type="cellIs" dxfId="7" priority="7" stopIfTrue="1" operator="greaterThan">
      <formula>$H$283</formula>
    </cfRule>
    <cfRule type="cellIs" dxfId="6" priority="8" stopIfTrue="1" operator="lessThanOrEqual">
      <formula>$H$283</formula>
    </cfRule>
  </conditionalFormatting>
  <conditionalFormatting sqref="G282">
    <cfRule type="expression" dxfId="5" priority="11" stopIfTrue="1">
      <formula>$H$282&gt;$H$283</formula>
    </cfRule>
    <cfRule type="expression" dxfId="4" priority="12" stopIfTrue="1">
      <formula>$H$282&lt;=$H$283</formula>
    </cfRule>
  </conditionalFormatting>
  <conditionalFormatting sqref="I282">
    <cfRule type="cellIs" dxfId="3" priority="1" stopIfTrue="1" operator="equal">
      <formula>"PASS"</formula>
    </cfRule>
    <cfRule type="cellIs" dxfId="2" priority="2" stopIfTrue="1" operator="equal">
      <formula>"FAIL"</formula>
    </cfRule>
  </conditionalFormatting>
  <conditionalFormatting sqref="I277">
    <cfRule type="expression" dxfId="1" priority="3" stopIfTrue="1">
      <formula>$H$282&gt;$H$283</formula>
    </cfRule>
    <cfRule type="expression" dxfId="0" priority="4" stopIfTrue="1">
      <formula>$H$282&lt;=$H$283</formula>
    </cfRule>
  </conditionalFormatting>
  <dataValidations count="10">
    <dataValidation type="list" allowBlank="1" showInputMessage="1" showErrorMessage="1" sqref="D252">
      <formula1>$M$151:$M$153</formula1>
    </dataValidation>
    <dataValidation type="list" allowBlank="1" showInputMessage="1" showErrorMessage="1" sqref="D152:D251">
      <formula1>$M$151:$M$154</formula1>
    </dataValidation>
    <dataValidation type="list" allowBlank="1" showInputMessage="1" showErrorMessage="1" sqref="E16">
      <formula1>"2019, 2018, 2017, 2016, 2015, 2014, 2013, 2012, 2011, 2010, 2009, 2008, 2007, 2006, 2005, 2004, 2003, 2002, 2001, 2000, 1999, 1998"</formula1>
    </dataValidation>
    <dataValidation type="whole" operator="greaterThanOrEqual" allowBlank="1" showInputMessage="1" showErrorMessage="1" sqref="E7">
      <formula1>1111</formula1>
    </dataValidation>
    <dataValidation type="decimal" operator="greaterThan" allowBlank="1" showInputMessage="1" showErrorMessage="1" sqref="E12">
      <formula1>0</formula1>
    </dataValidation>
    <dataValidation type="whole" operator="greaterThanOrEqual" allowBlank="1" showInputMessage="1" showErrorMessage="1" sqref="E11">
      <formula1>3</formula1>
    </dataValidation>
    <dataValidation type="whole" operator="greaterThanOrEqual" allowBlank="1" showInputMessage="1" showErrorMessage="1" sqref="E8 E10">
      <formula1>1</formula1>
    </dataValidation>
    <dataValidation type="list" allowBlank="1" showInputMessage="1" showErrorMessage="1" sqref="E17">
      <formula1>"2029, 2028, 2027, 2026, 2025, 2024, 2023, 2022, 2021, 2020, 2019, 2018, 2017, 2016, 2015, 2014, 2013, 2012, 2011, 2010, 2009, 2008, 2007, 2006, 2005, 2004, 2003, 2002, 2001, 2000, 1999, 1998"</formula1>
    </dataValidation>
    <dataValidation operator="greaterThanOrEqual" allowBlank="1" showInputMessage="1" showErrorMessage="1" sqref="E9 E15"/>
    <dataValidation type="whole" operator="greaterThan" allowBlank="1" showInputMessage="1" showErrorMessage="1" sqref="B45:B144">
      <formula1>0</formula1>
    </dataValidation>
  </dataValidations>
  <printOptions horizontalCentered="1" headings="1"/>
  <pageMargins left="0.34" right="0.31" top="1" bottom="0.25" header="0.5" footer="0.5"/>
  <pageSetup scale="53" fitToHeight="2" orientation="landscape" r:id="rId1"/>
  <headerFooter alignWithMargins="0"/>
  <rowBreaks count="1" manualBreakCount="1">
    <brk id="146" max="9" man="1"/>
  </row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Z28"/>
  <sheetViews>
    <sheetView zoomScaleNormal="100" zoomScaleSheetLayoutView="100" workbookViewId="0">
      <pane xSplit="1" topLeftCell="H1" activePane="topRight" state="frozen"/>
      <selection pane="topRight" activeCell="AA12" sqref="AA12"/>
    </sheetView>
  </sheetViews>
  <sheetFormatPr defaultColWidth="8.7109375" defaultRowHeight="12.75" x14ac:dyDescent="0.2"/>
  <cols>
    <col min="1" max="1" width="35.7109375" style="220" customWidth="1"/>
    <col min="2" max="2" width="13.140625" style="220" customWidth="1"/>
    <col min="3" max="3" width="10.140625" style="220" bestFit="1" customWidth="1"/>
    <col min="4" max="4" width="9.42578125" style="220" customWidth="1"/>
    <col min="5" max="5" width="11.28515625" style="220" customWidth="1"/>
    <col min="6" max="6" width="8.28515625" style="220" customWidth="1"/>
    <col min="7" max="7" width="10.42578125" style="220" customWidth="1"/>
    <col min="8" max="8" width="11.140625" style="220" customWidth="1"/>
    <col min="9" max="9" width="10.140625" style="220" bestFit="1" customWidth="1"/>
    <col min="10" max="10" width="9" style="220" bestFit="1" customWidth="1"/>
    <col min="11" max="11" width="10.140625" style="220" bestFit="1" customWidth="1"/>
    <col min="12" max="12" width="9" style="220" bestFit="1" customWidth="1"/>
    <col min="13" max="13" width="10.140625" style="220" bestFit="1" customWidth="1"/>
    <col min="14" max="14" width="9.28515625" style="220" bestFit="1" customWidth="1"/>
    <col min="15" max="15" width="10" style="220" bestFit="1" customWidth="1"/>
    <col min="16" max="16" width="9.28515625" style="220" bestFit="1" customWidth="1"/>
    <col min="17" max="17" width="9.85546875" style="220" bestFit="1" customWidth="1"/>
    <col min="18" max="18" width="8.28515625" style="220" customWidth="1"/>
    <col min="19" max="19" width="9.85546875" style="220" bestFit="1" customWidth="1"/>
    <col min="20" max="24" width="8.85546875" style="220" customWidth="1"/>
    <col min="25" max="25" width="9.42578125" style="232" customWidth="1"/>
    <col min="26" max="26" width="8.85546875" style="220" customWidth="1"/>
    <col min="27" max="27" width="8.85546875" style="232" customWidth="1"/>
    <col min="28" max="36" width="8.85546875" style="220" customWidth="1"/>
    <col min="37" max="37" width="9.7109375" style="220" bestFit="1" customWidth="1"/>
    <col min="38" max="38" width="9.28515625" style="220" bestFit="1" customWidth="1"/>
    <col min="39" max="41" width="8.85546875" style="220" customWidth="1"/>
    <col min="42" max="42" width="10.28515625" style="220" bestFit="1" customWidth="1"/>
    <col min="43" max="43" width="8.85546875" style="220" customWidth="1"/>
    <col min="44" max="44" width="10.28515625" style="220" bestFit="1" customWidth="1"/>
    <col min="45" max="45" width="8.85546875" style="220" customWidth="1"/>
    <col min="46" max="46" width="11.28515625" style="220" bestFit="1" customWidth="1"/>
    <col min="47" max="47" width="8.85546875" style="220" customWidth="1"/>
    <col min="48" max="48" width="11.28515625" style="220" bestFit="1" customWidth="1"/>
    <col min="49" max="16384" width="8.7109375" style="220"/>
  </cols>
  <sheetData>
    <row r="1" spans="1:52" s="230" customFormat="1" ht="64.5" customHeight="1" x14ac:dyDescent="0.2">
      <c r="A1" s="312" t="s">
        <v>113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Y1" s="231"/>
      <c r="AA1" s="231"/>
    </row>
    <row r="2" spans="1:52" s="311" customFormat="1" x14ac:dyDescent="0.2">
      <c r="A2" s="310" t="s">
        <v>114</v>
      </c>
    </row>
    <row r="3" spans="1:52" x14ac:dyDescent="0.2">
      <c r="A3" s="1"/>
    </row>
    <row r="4" spans="1:52" x14ac:dyDescent="0.2">
      <c r="A4" s="220" t="s">
        <v>115</v>
      </c>
    </row>
    <row r="6" spans="1:52" x14ac:dyDescent="0.2">
      <c r="B6" s="233"/>
      <c r="C6" s="4" t="s">
        <v>116</v>
      </c>
      <c r="D6" s="4"/>
      <c r="E6" s="4"/>
      <c r="F6" s="4"/>
      <c r="G6" s="4"/>
      <c r="H6" s="4"/>
      <c r="I6" s="4"/>
      <c r="J6" s="4"/>
      <c r="K6" s="4"/>
      <c r="L6" s="4"/>
      <c r="M6" s="4"/>
      <c r="AC6" s="222"/>
      <c r="AE6" s="222"/>
      <c r="AG6" s="222"/>
      <c r="AI6" s="222"/>
      <c r="AK6" s="222"/>
      <c r="AM6" s="222"/>
      <c r="AO6" s="222"/>
      <c r="AQ6" s="222"/>
      <c r="AS6" s="222"/>
      <c r="AU6" s="222"/>
      <c r="AW6" s="222"/>
      <c r="AX6" s="222"/>
      <c r="AY6" s="222"/>
      <c r="AZ6" s="222"/>
    </row>
    <row r="7" spans="1:52" x14ac:dyDescent="0.2">
      <c r="N7" s="2"/>
      <c r="O7" s="2"/>
      <c r="AC7" s="222"/>
      <c r="AE7" s="222"/>
      <c r="AG7" s="222"/>
      <c r="AI7" s="222"/>
      <c r="AK7" s="222"/>
      <c r="AM7" s="222"/>
      <c r="AO7" s="222"/>
      <c r="AQ7" s="222"/>
      <c r="AS7" s="222"/>
      <c r="AU7" s="222"/>
      <c r="AW7" s="222"/>
      <c r="AX7" s="222"/>
      <c r="AY7" s="222"/>
      <c r="AZ7" s="222"/>
    </row>
    <row r="8" spans="1:52" s="1" customFormat="1" x14ac:dyDescent="0.2">
      <c r="B8" s="2" t="s">
        <v>117</v>
      </c>
      <c r="C8" s="2" t="s">
        <v>118</v>
      </c>
      <c r="D8" s="2">
        <v>1999</v>
      </c>
      <c r="E8" s="2" t="s">
        <v>118</v>
      </c>
      <c r="F8" s="2">
        <v>2000</v>
      </c>
      <c r="G8" s="2" t="s">
        <v>118</v>
      </c>
      <c r="H8" s="2">
        <v>2001</v>
      </c>
      <c r="I8" s="2" t="s">
        <v>118</v>
      </c>
      <c r="J8" s="2">
        <v>2002</v>
      </c>
      <c r="K8" s="2" t="s">
        <v>118</v>
      </c>
      <c r="L8" s="2">
        <v>2003</v>
      </c>
      <c r="M8" s="2" t="s">
        <v>118</v>
      </c>
      <c r="N8" s="2">
        <v>2004</v>
      </c>
      <c r="O8" s="2" t="s">
        <v>118</v>
      </c>
      <c r="P8" s="2">
        <v>2005</v>
      </c>
      <c r="Q8" s="2" t="s">
        <v>118</v>
      </c>
      <c r="R8" s="2">
        <v>2006</v>
      </c>
      <c r="S8" s="2" t="s">
        <v>118</v>
      </c>
      <c r="T8" s="2">
        <v>2007</v>
      </c>
      <c r="U8" s="2" t="s">
        <v>118</v>
      </c>
      <c r="V8" s="2">
        <v>2008</v>
      </c>
      <c r="W8" s="2" t="s">
        <v>118</v>
      </c>
      <c r="X8" s="2">
        <v>2009</v>
      </c>
      <c r="Y8" s="200" t="s">
        <v>118</v>
      </c>
      <c r="Z8" s="2">
        <v>2010</v>
      </c>
      <c r="AA8" s="200" t="s">
        <v>118</v>
      </c>
      <c r="AB8" s="2">
        <v>2011</v>
      </c>
      <c r="AC8" s="210" t="s">
        <v>118</v>
      </c>
      <c r="AD8" s="2">
        <v>2012</v>
      </c>
      <c r="AE8" s="210" t="s">
        <v>118</v>
      </c>
      <c r="AF8" s="2">
        <v>2013</v>
      </c>
      <c r="AG8" s="210" t="s">
        <v>118</v>
      </c>
      <c r="AH8" s="2">
        <v>2014</v>
      </c>
      <c r="AI8" s="210" t="s">
        <v>118</v>
      </c>
      <c r="AJ8" s="2">
        <v>2015</v>
      </c>
      <c r="AK8" s="210" t="s">
        <v>118</v>
      </c>
      <c r="AL8" s="2">
        <f>AJ8+1</f>
        <v>2016</v>
      </c>
      <c r="AM8" s="210" t="s">
        <v>118</v>
      </c>
      <c r="AN8" s="2">
        <f>AL8+1</f>
        <v>2017</v>
      </c>
      <c r="AO8" s="210" t="s">
        <v>118</v>
      </c>
      <c r="AP8" s="2">
        <f>AN8+1</f>
        <v>2018</v>
      </c>
      <c r="AQ8" s="210" t="s">
        <v>118</v>
      </c>
      <c r="AR8" s="2">
        <f>AP8+1</f>
        <v>2019</v>
      </c>
      <c r="AS8" s="210" t="s">
        <v>118</v>
      </c>
      <c r="AT8" s="2">
        <f>AR8+1</f>
        <v>2020</v>
      </c>
      <c r="AU8" s="210" t="s">
        <v>118</v>
      </c>
      <c r="AV8" s="2">
        <f>AT8+1</f>
        <v>2021</v>
      </c>
      <c r="AW8" s="210" t="s">
        <v>118</v>
      </c>
      <c r="AX8" s="210">
        <f>AV8+1</f>
        <v>2022</v>
      </c>
      <c r="AY8" s="210" t="s">
        <v>118</v>
      </c>
      <c r="AZ8" s="210">
        <f>AX8+1</f>
        <v>2023</v>
      </c>
    </row>
    <row r="9" spans="1:52" s="1" customFormat="1" x14ac:dyDescent="0.2">
      <c r="A9" s="1" t="s">
        <v>119</v>
      </c>
      <c r="B9" s="2" t="s">
        <v>120</v>
      </c>
      <c r="C9" s="2">
        <v>1999</v>
      </c>
      <c r="D9" s="2" t="s">
        <v>121</v>
      </c>
      <c r="E9" s="2">
        <v>2000</v>
      </c>
      <c r="F9" s="2" t="s">
        <v>121</v>
      </c>
      <c r="G9" s="2">
        <v>2001</v>
      </c>
      <c r="H9" s="2" t="s">
        <v>121</v>
      </c>
      <c r="I9" s="2">
        <v>2002</v>
      </c>
      <c r="J9" s="2" t="s">
        <v>121</v>
      </c>
      <c r="K9" s="2">
        <v>2003</v>
      </c>
      <c r="L9" s="2" t="s">
        <v>121</v>
      </c>
      <c r="M9" s="2">
        <v>2004</v>
      </c>
      <c r="N9" s="2" t="s">
        <v>121</v>
      </c>
      <c r="O9" s="2">
        <v>2005</v>
      </c>
      <c r="P9" s="2" t="s">
        <v>121</v>
      </c>
      <c r="Q9" s="2">
        <v>2006</v>
      </c>
      <c r="R9" s="2" t="s">
        <v>121</v>
      </c>
      <c r="S9" s="2">
        <v>2007</v>
      </c>
      <c r="T9" s="2" t="s">
        <v>121</v>
      </c>
      <c r="U9" s="2">
        <v>2008</v>
      </c>
      <c r="V9" s="2" t="s">
        <v>121</v>
      </c>
      <c r="W9" s="2">
        <v>2009</v>
      </c>
      <c r="X9" s="2" t="s">
        <v>121</v>
      </c>
      <c r="Y9" s="200">
        <v>2010</v>
      </c>
      <c r="Z9" s="2" t="s">
        <v>121</v>
      </c>
      <c r="AA9" s="200">
        <v>2011</v>
      </c>
      <c r="AB9" s="2" t="s">
        <v>121</v>
      </c>
      <c r="AC9" s="210" t="s">
        <v>122</v>
      </c>
      <c r="AD9" s="2" t="s">
        <v>121</v>
      </c>
      <c r="AE9" s="210" t="s">
        <v>123</v>
      </c>
      <c r="AF9" s="2" t="s">
        <v>121</v>
      </c>
      <c r="AG9" s="210" t="s">
        <v>124</v>
      </c>
      <c r="AH9" s="2" t="s">
        <v>121</v>
      </c>
      <c r="AI9" s="210" t="s">
        <v>125</v>
      </c>
      <c r="AJ9" s="2" t="s">
        <v>121</v>
      </c>
      <c r="AK9" s="210" t="s">
        <v>126</v>
      </c>
      <c r="AL9" s="2" t="s">
        <v>121</v>
      </c>
      <c r="AM9" s="210" t="s">
        <v>127</v>
      </c>
      <c r="AN9" s="2" t="s">
        <v>121</v>
      </c>
      <c r="AO9" s="210" t="s">
        <v>128</v>
      </c>
      <c r="AP9" s="2" t="s">
        <v>121</v>
      </c>
      <c r="AQ9" s="210" t="s">
        <v>129</v>
      </c>
      <c r="AR9" s="2" t="s">
        <v>121</v>
      </c>
      <c r="AS9" s="210" t="s">
        <v>130</v>
      </c>
      <c r="AT9" s="2" t="s">
        <v>121</v>
      </c>
      <c r="AU9" s="210" t="s">
        <v>131</v>
      </c>
      <c r="AV9" s="2" t="s">
        <v>121</v>
      </c>
      <c r="AW9" s="210" t="s">
        <v>132</v>
      </c>
      <c r="AX9" s="210" t="s">
        <v>121</v>
      </c>
      <c r="AY9" s="210" t="s">
        <v>133</v>
      </c>
      <c r="AZ9" s="210" t="s">
        <v>121</v>
      </c>
    </row>
    <row r="10" spans="1:52" x14ac:dyDescent="0.2">
      <c r="A10" s="212" t="s">
        <v>134</v>
      </c>
      <c r="B10" s="213">
        <v>22.75</v>
      </c>
      <c r="C10" s="234">
        <v>1.034</v>
      </c>
      <c r="D10" s="215">
        <f t="shared" ref="D10:D18" si="0">B10*C10</f>
        <v>23.523500000000002</v>
      </c>
      <c r="E10" s="235">
        <v>1.0262</v>
      </c>
      <c r="F10" s="215">
        <f t="shared" ref="F10:F18" si="1">B10*C10*E10</f>
        <v>24.139815700000003</v>
      </c>
      <c r="G10" s="236">
        <v>1.0395000000000001</v>
      </c>
      <c r="H10" s="215">
        <f t="shared" ref="H10:H18" si="2">B10*C10*E10*G10</f>
        <v>25.093338420150005</v>
      </c>
      <c r="I10" s="236">
        <v>1.0403</v>
      </c>
      <c r="J10" s="215">
        <f t="shared" ref="J10:J18" si="3">B10*C10*E10*G10*I10</f>
        <v>26.104599958482051</v>
      </c>
      <c r="K10" s="236">
        <v>1.0345</v>
      </c>
      <c r="L10" s="215">
        <f t="shared" ref="L10:L18" si="4">B10*C10*E10*G10*I10*K10</f>
        <v>27.005208657049682</v>
      </c>
      <c r="M10" s="236">
        <v>1.0454000000000001</v>
      </c>
      <c r="N10" s="215">
        <f t="shared" ref="N10:N18" si="5">B10*C10*E10*G10*I10*K10*M10</f>
        <v>28.231245130079742</v>
      </c>
      <c r="O10" s="204">
        <v>1.0349999999999999</v>
      </c>
      <c r="P10" s="215">
        <f t="shared" ref="P10:P18" si="6">B10*C10*E10*G10*I10*K10*M10*O10</f>
        <v>29.219338709632531</v>
      </c>
      <c r="Q10" s="237">
        <v>1.0247999999999999</v>
      </c>
      <c r="R10" s="215">
        <f t="shared" ref="R10:R18" si="7">B10*C10*E10*G10*I10*K10*M10*O10*Q10</f>
        <v>29.943978309631415</v>
      </c>
      <c r="S10" s="204">
        <v>1.0809</v>
      </c>
      <c r="T10" s="215">
        <f t="shared" ref="T10:T18" si="8">B10*C10*E10*G10*I10*K10*M10*O10*Q10*S10</f>
        <v>32.366446154880599</v>
      </c>
      <c r="U10" s="204">
        <v>1.0398000000000001</v>
      </c>
      <c r="V10" s="218">
        <f t="shared" ref="V10:V18" si="9">B10*C10*E10*G10*I10*K10*M10*O10*Q10*S10*U10</f>
        <v>33.654630711844845</v>
      </c>
      <c r="W10" s="204">
        <v>1.0287999999999999</v>
      </c>
      <c r="X10" s="219">
        <f>B10*C10*E10*G10*I10*K10*M10*O10*Q10*S10*U10*W10</f>
        <v>34.623884076345973</v>
      </c>
      <c r="Y10" s="204">
        <v>1.0313000000000001</v>
      </c>
      <c r="Z10" s="215">
        <f>B10*C10*E10*G10*I10*K10*M10*O10*Q10*S10*U10*W10*Y10</f>
        <v>35.707611647935607</v>
      </c>
      <c r="AA10" s="204">
        <v>1.0266</v>
      </c>
      <c r="AB10" s="215">
        <f>B10*C10*E10*G10*I10*K10*M10*O10*Q10*S10*U10*W10*Y10*AA10</f>
        <v>36.657434117770691</v>
      </c>
      <c r="AC10" s="211">
        <f>1.037</f>
        <v>1.0369999999999999</v>
      </c>
      <c r="AD10" s="215">
        <f>B10*C10*E10*G10*I10*K10*M10*O10*Q10*S10*U10*W10*Y10*AA10*AC10</f>
        <v>38.013759180128204</v>
      </c>
      <c r="AE10" s="211">
        <f>AC10</f>
        <v>1.0369999999999999</v>
      </c>
      <c r="AF10" s="215">
        <f>B10*C10*E10*G10*I10*K10*M10*O10*Q10*S10*U10*W10*Y10*AA10*AC10*AE10</f>
        <v>39.420268269792942</v>
      </c>
      <c r="AG10" s="211">
        <f>AE10</f>
        <v>1.0369999999999999</v>
      </c>
      <c r="AH10" s="215">
        <f>B10*C10*E10*G10*I10*K10*M10*O10*Q10*S10*U10*W10*Y10*AA10*AC10*AE10*AG10</f>
        <v>40.878818195775274</v>
      </c>
      <c r="AI10" s="211">
        <f>AG10</f>
        <v>1.0369999999999999</v>
      </c>
      <c r="AJ10" s="215">
        <f>B10*C10*E10*G10*I10*K10*M10*O10*Q10*S10*U10*W10*Y10*AA10*AC10*AE10*AG10*AI10</f>
        <v>42.391334469018958</v>
      </c>
      <c r="AK10" s="211">
        <f>AI10</f>
        <v>1.0369999999999999</v>
      </c>
      <c r="AL10" s="215">
        <f>B10*C10*E10*G10*I10*K10*M10*O10*Q10*S10*U10*W10*Y10*AA10*AC10*AE10*AG10*AI10*AK10</f>
        <v>43.959813844372654</v>
      </c>
      <c r="AM10" s="211">
        <f>AK10</f>
        <v>1.0369999999999999</v>
      </c>
      <c r="AN10" s="215">
        <f>B10*C10*E10*G10*I10*K10*M10*O10*Q10*S10*U10*W10*Y10*AA10*AC10*AE10*AG10*AI10*AK10*AM10</f>
        <v>45.586326956614435</v>
      </c>
      <c r="AO10" s="211">
        <f>AM10</f>
        <v>1.0369999999999999</v>
      </c>
      <c r="AP10" s="215">
        <f>B10*C10*E10*G10*I10*K10*M10*O10*Q10*S10*U10*W10*Y10*AA10*AC10*AE10*AG10*AI10*AK10*AM10*AO10</f>
        <v>47.273021054009163</v>
      </c>
      <c r="AQ10" s="211">
        <f>AO10</f>
        <v>1.0369999999999999</v>
      </c>
      <c r="AR10" s="215">
        <f>B10*C10*E10*G10*I10*K10*M10*O10*Q10*S10*U10*W10*Y10*AA10*AC10*AE10*AG10*AI10*AK10*AM10*AO10*AQ10</f>
        <v>49.022122833007501</v>
      </c>
      <c r="AS10" s="211">
        <f>AQ10</f>
        <v>1.0369999999999999</v>
      </c>
      <c r="AT10" s="215">
        <f>B10*C10*E10*G10*I10*K10*M10*O10*Q10*S10*U10*W10*Y10*AA10*AC10*AE10*AG10*AI10*AK10*AM10*AO10*AQ10*AS10</f>
        <v>50.835941377828775</v>
      </c>
      <c r="AU10" s="211">
        <f>AS10</f>
        <v>1.0369999999999999</v>
      </c>
      <c r="AV10" s="215">
        <f>B10*C10*E10*G10*I10*K10*M10*O10*Q10*S10*U10*W10*Y10*AA10*AC10*AE10*AG10*AI10*AK10*AM10*AO10*AQ10*AS10*AU10</f>
        <v>52.716871208808435</v>
      </c>
      <c r="AW10" s="222"/>
      <c r="AX10" s="222"/>
      <c r="AY10" s="222"/>
      <c r="AZ10" s="222"/>
    </row>
    <row r="11" spans="1:52" x14ac:dyDescent="0.2">
      <c r="A11" s="212" t="s">
        <v>135</v>
      </c>
      <c r="B11" s="213">
        <v>8.75</v>
      </c>
      <c r="C11" s="235">
        <f>1-0.1837</f>
        <v>0.81630000000000003</v>
      </c>
      <c r="D11" s="215">
        <f t="shared" si="0"/>
        <v>7.1426250000000007</v>
      </c>
      <c r="E11" s="235">
        <v>1.5479000000000001</v>
      </c>
      <c r="F11" s="215">
        <f t="shared" si="1"/>
        <v>11.056069237500001</v>
      </c>
      <c r="G11" s="236">
        <v>1.3332999999999999</v>
      </c>
      <c r="H11" s="215">
        <f t="shared" si="2"/>
        <v>14.74105711435875</v>
      </c>
      <c r="I11" s="236">
        <v>0.6391</v>
      </c>
      <c r="J11" s="215">
        <f t="shared" si="3"/>
        <v>9.4210096017866771</v>
      </c>
      <c r="K11" s="236">
        <v>1.6691</v>
      </c>
      <c r="L11" s="215">
        <f t="shared" si="4"/>
        <v>15.724607126342143</v>
      </c>
      <c r="M11" s="236">
        <f>1-0.0281</f>
        <v>0.97189999999999999</v>
      </c>
      <c r="N11" s="215">
        <f t="shared" si="5"/>
        <v>15.282745666091929</v>
      </c>
      <c r="O11" s="204">
        <v>1.2000999999999999</v>
      </c>
      <c r="P11" s="215">
        <f t="shared" si="6"/>
        <v>18.340823073876923</v>
      </c>
      <c r="Q11" s="237">
        <v>1.2278</v>
      </c>
      <c r="R11" s="215">
        <f t="shared" si="7"/>
        <v>22.518862570106087</v>
      </c>
      <c r="S11" s="204">
        <v>1.0045999999999999</v>
      </c>
      <c r="T11" s="215">
        <f t="shared" si="8"/>
        <v>22.622449337928575</v>
      </c>
      <c r="U11" s="204">
        <v>1.3734999999999999</v>
      </c>
      <c r="V11" s="218">
        <f t="shared" si="9"/>
        <v>31.071934165644898</v>
      </c>
      <c r="W11" s="204">
        <f>1-0.1012</f>
        <v>0.89880000000000004</v>
      </c>
      <c r="X11" s="219">
        <f t="shared" ref="X11:X18" si="10">B11*C11*E11*G11*I11*K11*M11*O11*Q11*S11*U11*W11</f>
        <v>27.927454428081635</v>
      </c>
      <c r="Y11" s="204">
        <v>1.0045999999999999</v>
      </c>
      <c r="Z11" s="215">
        <f t="shared" ref="Z11:Z18" si="11">B11*C11*E11*G11*I11*K11*M11*O11*Q11*S11*U11*W11*Y11</f>
        <v>28.05592071845081</v>
      </c>
      <c r="AA11" s="204">
        <v>1.2305999999999999</v>
      </c>
      <c r="AB11" s="215">
        <f t="shared" ref="AB11:AB18" si="12">B11*C11*E11*G11*I11*K11*M11*O11*Q11*S11*U11*W11*Y11*AA11</f>
        <v>34.525616036125562</v>
      </c>
      <c r="AC11" s="211">
        <f>1.196</f>
        <v>1.196</v>
      </c>
      <c r="AD11" s="215">
        <f t="shared" ref="AD11:AD18" si="13">B11*C11*E11*G11*I11*K11*M11*O11*Q11*S11*U11*W11*Y11*AA11*AC11</f>
        <v>41.29263677920617</v>
      </c>
      <c r="AE11" s="211">
        <f t="shared" ref="AE11:AU17" si="14">AC11</f>
        <v>1.196</v>
      </c>
      <c r="AF11" s="215">
        <f t="shared" ref="AF11:AF17" si="15">B11*C11*E11*G11*I11*K11*M11*O11*Q11*S11*U11*W11*Y11*AA11*AC11*AE11</f>
        <v>49.385993587930578</v>
      </c>
      <c r="AG11" s="211">
        <f t="shared" si="14"/>
        <v>1.196</v>
      </c>
      <c r="AH11" s="215">
        <f>B11*C11*E11*G11*I11*K11*M11*O11*Q11*S11*U11*W11*Y11*AA11*AC11*AE11*AG11</f>
        <v>59.065648331164972</v>
      </c>
      <c r="AI11" s="211">
        <f t="shared" si="14"/>
        <v>1.196</v>
      </c>
      <c r="AJ11" s="215">
        <f>B11*C11*E11*G11*I11*K11*M11*O11*Q11*S11*U11*W11*Y11*AA11*AC11*AE11*AG11*AI11</f>
        <v>70.642515404073308</v>
      </c>
      <c r="AK11" s="211">
        <f t="shared" si="14"/>
        <v>1.196</v>
      </c>
      <c r="AL11" s="215">
        <f t="shared" ref="AL11:AL18" si="16">B11*C11*E11*G11*I11*K11*M11*O11*Q11*S11*U11*W11*Y11*AA11*AC11*AE11*AG11*AI11*AK11</f>
        <v>84.488448423271677</v>
      </c>
      <c r="AM11" s="211">
        <f t="shared" si="14"/>
        <v>1.196</v>
      </c>
      <c r="AN11" s="215">
        <f t="shared" ref="AN11:AN18" si="17">B11*C11*E11*G11*I11*K11*M11*O11*Q11*S11*U11*W11*Y11*AA11*AC11*AE11*AG11*AI11*AK11*AM11</f>
        <v>101.04818431423293</v>
      </c>
      <c r="AO11" s="211">
        <f t="shared" si="14"/>
        <v>1.196</v>
      </c>
      <c r="AP11" s="215">
        <f t="shared" ref="AP11:AP18" si="18">B11*C11*E11*G11*I11*K11*M11*O11*Q11*S11*U11*W11*Y11*AA11*AC11*AE11*AG11*AI11*AK11*AM11*AO11</f>
        <v>120.85362843982257</v>
      </c>
      <c r="AQ11" s="211">
        <f t="shared" si="14"/>
        <v>1.196</v>
      </c>
      <c r="AR11" s="215">
        <f t="shared" ref="AR11:AR18" si="19">B11*C11*E11*G11*I11*K11*M11*O11*Q11*S11*U11*W11*Y11*AA11*AC11*AE11*AG11*AI11*AK11*AM11*AO11*AQ11</f>
        <v>144.54093961402779</v>
      </c>
      <c r="AS11" s="211">
        <f t="shared" si="14"/>
        <v>1.196</v>
      </c>
      <c r="AT11" s="215">
        <f t="shared" ref="AT11:AT18" si="20">B11*C11*E11*G11*I11*K11*M11*O11*Q11*S11*U11*W11*Y11*AA11*AC11*AE11*AG11*AI11*AK11*AM11*AO11*AQ11*AS11</f>
        <v>172.87096377837725</v>
      </c>
      <c r="AU11" s="211">
        <f t="shared" si="14"/>
        <v>1.196</v>
      </c>
      <c r="AV11" s="215">
        <f>B11*C11*E11*G11*I11*K11*M11*O11*Q11*S11*U11*W11*Y11*AA11*AC11*AE11*AG11*AI11*AK11*AM11*AO11*AQ11*AS11*AU11</f>
        <v>206.75367267893918</v>
      </c>
      <c r="AW11" s="222"/>
      <c r="AX11" s="222"/>
      <c r="AY11" s="222"/>
      <c r="AZ11" s="222"/>
    </row>
    <row r="12" spans="1:52" x14ac:dyDescent="0.2">
      <c r="A12" s="212" t="s">
        <v>136</v>
      </c>
      <c r="B12" s="213">
        <v>8</v>
      </c>
      <c r="C12" s="214">
        <v>1.04</v>
      </c>
      <c r="D12" s="215">
        <f t="shared" si="0"/>
        <v>8.32</v>
      </c>
      <c r="E12" s="214">
        <v>1.04</v>
      </c>
      <c r="F12" s="215">
        <f t="shared" si="1"/>
        <v>8.6528000000000009</v>
      </c>
      <c r="G12" s="214">
        <v>1.01</v>
      </c>
      <c r="H12" s="215">
        <f t="shared" si="2"/>
        <v>8.7393280000000004</v>
      </c>
      <c r="I12" s="214">
        <v>1.03</v>
      </c>
      <c r="J12" s="215">
        <f t="shared" si="3"/>
        <v>9.0015078400000004</v>
      </c>
      <c r="K12" s="214">
        <v>1.0649999999999999</v>
      </c>
      <c r="L12" s="215">
        <f t="shared" si="4"/>
        <v>9.5866058495999997</v>
      </c>
      <c r="M12" s="214">
        <v>1.0549999999999999</v>
      </c>
      <c r="N12" s="215">
        <f t="shared" si="5"/>
        <v>10.113869171327998</v>
      </c>
      <c r="O12" s="216">
        <v>1.0549999999999999</v>
      </c>
      <c r="P12" s="215">
        <f t="shared" si="6"/>
        <v>10.670131975751037</v>
      </c>
      <c r="Q12" s="217">
        <v>1.03</v>
      </c>
      <c r="R12" s="215">
        <f t="shared" si="7"/>
        <v>10.990235935023568</v>
      </c>
      <c r="S12" s="216">
        <v>1.0940000000000001</v>
      </c>
      <c r="T12" s="215">
        <f t="shared" si="8"/>
        <v>12.023318112915785</v>
      </c>
      <c r="U12" s="216">
        <v>1.115</v>
      </c>
      <c r="V12" s="218">
        <f t="shared" si="9"/>
        <v>13.4059996959011</v>
      </c>
      <c r="W12" s="216">
        <v>1.145</v>
      </c>
      <c r="X12" s="219">
        <f t="shared" si="10"/>
        <v>15.34986965180676</v>
      </c>
      <c r="Y12" s="204">
        <v>1.129</v>
      </c>
      <c r="Z12" s="215">
        <f t="shared" si="11"/>
        <v>17.330002836889832</v>
      </c>
      <c r="AA12" s="204">
        <v>1.129</v>
      </c>
      <c r="AB12" s="215">
        <f t="shared" si="12"/>
        <v>19.565573202848622</v>
      </c>
      <c r="AC12" s="211">
        <f>1.06</f>
        <v>1.06</v>
      </c>
      <c r="AD12" s="215">
        <f t="shared" si="13"/>
        <v>20.739507595019539</v>
      </c>
      <c r="AE12" s="211">
        <f t="shared" si="14"/>
        <v>1.06</v>
      </c>
      <c r="AF12" s="215">
        <f>B12*C12*E12*G12*I12*K12*M12*O12*Q12*S12*U12*W12*Y12*AA12*AC12*AE12</f>
        <v>21.983878050720712</v>
      </c>
      <c r="AG12" s="211">
        <f t="shared" si="14"/>
        <v>1.06</v>
      </c>
      <c r="AH12" s="215">
        <f t="shared" ref="AH12:AH18" si="21">B12*C12*E12*G12*I12*K12*M12*O12*Q12*S12*U12*W12*Y12*AA12*AC12*AE12*AG12</f>
        <v>23.302910733763955</v>
      </c>
      <c r="AI12" s="211">
        <f t="shared" si="14"/>
        <v>1.06</v>
      </c>
      <c r="AJ12" s="215">
        <f t="shared" ref="AJ12:AJ18" si="22">B12*C12*E12*G12*I12*K12*M12*O12*Q12*S12*U12*W12*Y12*AA12*AC12*AE12*AG12*AI12</f>
        <v>24.701085377789795</v>
      </c>
      <c r="AK12" s="211">
        <f t="shared" si="14"/>
        <v>1.06</v>
      </c>
      <c r="AL12" s="215">
        <f t="shared" si="16"/>
        <v>26.183150500457185</v>
      </c>
      <c r="AM12" s="211">
        <f t="shared" si="14"/>
        <v>1.06</v>
      </c>
      <c r="AN12" s="215">
        <f t="shared" si="17"/>
        <v>27.754139530484618</v>
      </c>
      <c r="AO12" s="211">
        <f t="shared" si="14"/>
        <v>1.06</v>
      </c>
      <c r="AP12" s="215">
        <f t="shared" si="18"/>
        <v>29.419387902313698</v>
      </c>
      <c r="AQ12" s="211">
        <f t="shared" si="14"/>
        <v>1.06</v>
      </c>
      <c r="AR12" s="215">
        <f t="shared" si="19"/>
        <v>31.184551176452523</v>
      </c>
      <c r="AS12" s="211">
        <f t="shared" si="14"/>
        <v>1.06</v>
      </c>
      <c r="AT12" s="215">
        <f t="shared" si="20"/>
        <v>33.055624247039674</v>
      </c>
      <c r="AU12" s="211">
        <f t="shared" si="14"/>
        <v>1.06</v>
      </c>
      <c r="AV12" s="215">
        <f t="shared" ref="AV12:AV17" si="23">B12*C12*E12*G12*I12*K12*M12*O12*Q12*S12*U12*W12*Y12*AA12*AC12*AE12*AG12*AI12*AK12*AM12*AO12*AQ12*AS12*AU12</f>
        <v>35.038961701862057</v>
      </c>
      <c r="AW12" s="222"/>
      <c r="AX12" s="222"/>
      <c r="AY12" s="222"/>
      <c r="AZ12" s="222"/>
    </row>
    <row r="13" spans="1:52" x14ac:dyDescent="0.2">
      <c r="A13" s="212" t="s">
        <v>137</v>
      </c>
      <c r="B13" s="213">
        <v>3</v>
      </c>
      <c r="C13" s="214">
        <v>0.92369999999999997</v>
      </c>
      <c r="D13" s="215">
        <f>B13*C13</f>
        <v>2.7710999999999997</v>
      </c>
      <c r="E13" s="214">
        <v>1.0409999999999999</v>
      </c>
      <c r="F13" s="215">
        <f t="shared" si="1"/>
        <v>2.8847150999999993</v>
      </c>
      <c r="G13" s="214">
        <v>1.5686</v>
      </c>
      <c r="H13" s="215">
        <f t="shared" si="2"/>
        <v>4.5249641058599988</v>
      </c>
      <c r="I13" s="214">
        <v>0.68</v>
      </c>
      <c r="J13" s="215">
        <f t="shared" si="3"/>
        <v>3.0769755919847994</v>
      </c>
      <c r="K13" s="214">
        <v>1.4047000000000001</v>
      </c>
      <c r="L13" s="215">
        <f t="shared" si="4"/>
        <v>4.3222276140610481</v>
      </c>
      <c r="M13" s="214">
        <v>1.0541</v>
      </c>
      <c r="N13" s="215">
        <f t="shared" si="5"/>
        <v>4.556060127981751</v>
      </c>
      <c r="O13" s="216">
        <v>1.0999000000000001</v>
      </c>
      <c r="P13" s="215">
        <f t="shared" si="6"/>
        <v>5.0112105347671285</v>
      </c>
      <c r="Q13" s="217">
        <v>1.2155</v>
      </c>
      <c r="R13" s="215">
        <f t="shared" si="7"/>
        <v>6.0911264050094447</v>
      </c>
      <c r="S13" s="216">
        <v>0.99219999999999997</v>
      </c>
      <c r="T13" s="215">
        <f t="shared" si="8"/>
        <v>6.0436156190503709</v>
      </c>
      <c r="U13" s="216">
        <v>1.0398000000000001</v>
      </c>
      <c r="V13" s="218">
        <f t="shared" si="9"/>
        <v>6.2841515206885763</v>
      </c>
      <c r="W13" s="216">
        <v>1.1566000000000001</v>
      </c>
      <c r="X13" s="219">
        <f t="shared" si="10"/>
        <v>7.2682496488284078</v>
      </c>
      <c r="Y13" s="204">
        <v>0.78169999999999995</v>
      </c>
      <c r="Z13" s="215">
        <f t="shared" si="11"/>
        <v>5.6815907504891658</v>
      </c>
      <c r="AA13" s="204">
        <v>0.9536</v>
      </c>
      <c r="AB13" s="215">
        <f>B13*C13*E13*G13*I13*K13*M13*O13*Q13*S13*U13*W13*Y13*AA13</f>
        <v>5.4179649396664686</v>
      </c>
      <c r="AC13" s="211">
        <f>1.06</f>
        <v>1.06</v>
      </c>
      <c r="AD13" s="215">
        <f t="shared" si="13"/>
        <v>5.7430428360464569</v>
      </c>
      <c r="AE13" s="211">
        <f t="shared" si="14"/>
        <v>1.06</v>
      </c>
      <c r="AF13" s="215">
        <f t="shared" si="15"/>
        <v>6.087625406209245</v>
      </c>
      <c r="AG13" s="211">
        <f t="shared" si="14"/>
        <v>1.06</v>
      </c>
      <c r="AH13" s="215">
        <f t="shared" si="21"/>
        <v>6.4528829305817998</v>
      </c>
      <c r="AI13" s="211">
        <f t="shared" si="14"/>
        <v>1.06</v>
      </c>
      <c r="AJ13" s="215">
        <f t="shared" si="22"/>
        <v>6.8400559064167084</v>
      </c>
      <c r="AK13" s="211">
        <f t="shared" si="14"/>
        <v>1.06</v>
      </c>
      <c r="AL13" s="215">
        <f t="shared" si="16"/>
        <v>7.2504592608017111</v>
      </c>
      <c r="AM13" s="211">
        <f t="shared" si="14"/>
        <v>1.06</v>
      </c>
      <c r="AN13" s="215">
        <f t="shared" si="17"/>
        <v>7.6854868164498145</v>
      </c>
      <c r="AO13" s="211">
        <f t="shared" si="14"/>
        <v>1.06</v>
      </c>
      <c r="AP13" s="215">
        <f t="shared" si="18"/>
        <v>8.1466160254368045</v>
      </c>
      <c r="AQ13" s="211">
        <f t="shared" si="14"/>
        <v>1.06</v>
      </c>
      <c r="AR13" s="215">
        <f t="shared" si="19"/>
        <v>8.6354129869630132</v>
      </c>
      <c r="AS13" s="211">
        <f t="shared" si="14"/>
        <v>1.06</v>
      </c>
      <c r="AT13" s="215">
        <f t="shared" si="20"/>
        <v>9.1535377661807953</v>
      </c>
      <c r="AU13" s="211">
        <f t="shared" si="14"/>
        <v>1.06</v>
      </c>
      <c r="AV13" s="215">
        <f t="shared" si="23"/>
        <v>9.7027500321516431</v>
      </c>
      <c r="AW13" s="222"/>
      <c r="AX13" s="222"/>
      <c r="AY13" s="222"/>
      <c r="AZ13" s="222"/>
    </row>
    <row r="14" spans="1:52" x14ac:dyDescent="0.2">
      <c r="A14" s="212" t="s">
        <v>138</v>
      </c>
      <c r="B14" s="213">
        <v>3</v>
      </c>
      <c r="C14" s="214">
        <v>0.92469999999999997</v>
      </c>
      <c r="D14" s="215">
        <f t="shared" si="0"/>
        <v>2.7740999999999998</v>
      </c>
      <c r="E14" s="214">
        <v>1.1440999999999999</v>
      </c>
      <c r="F14" s="215">
        <f t="shared" si="1"/>
        <v>3.1738478099999994</v>
      </c>
      <c r="G14" s="214">
        <v>1.0198</v>
      </c>
      <c r="H14" s="215">
        <f t="shared" si="2"/>
        <v>3.2366899966379994</v>
      </c>
      <c r="I14" s="214">
        <v>0.87629999999999997</v>
      </c>
      <c r="J14" s="215">
        <f t="shared" si="3"/>
        <v>2.8363114440538788</v>
      </c>
      <c r="K14" s="214">
        <v>1.4339</v>
      </c>
      <c r="L14" s="215">
        <f t="shared" si="4"/>
        <v>4.0669869796288562</v>
      </c>
      <c r="M14" s="214">
        <v>0.81479999999999997</v>
      </c>
      <c r="N14" s="215">
        <f t="shared" si="5"/>
        <v>3.3137809910015918</v>
      </c>
      <c r="O14" s="216">
        <v>1.1556</v>
      </c>
      <c r="P14" s="215">
        <f t="shared" si="6"/>
        <v>3.8294053132014394</v>
      </c>
      <c r="Q14" s="217">
        <v>0.91649999999999998</v>
      </c>
      <c r="R14" s="215">
        <f t="shared" si="7"/>
        <v>3.5096499695491192</v>
      </c>
      <c r="S14" s="216">
        <v>1.1546000000000001</v>
      </c>
      <c r="T14" s="215">
        <f t="shared" si="8"/>
        <v>4.0522418548414132</v>
      </c>
      <c r="U14" s="216">
        <v>1.1192</v>
      </c>
      <c r="V14" s="218">
        <f t="shared" si="9"/>
        <v>4.5352690839385099</v>
      </c>
      <c r="W14" s="216">
        <f>1-0.0942</f>
        <v>0.90579999999999994</v>
      </c>
      <c r="X14" s="219">
        <f t="shared" si="10"/>
        <v>4.1080467362315023</v>
      </c>
      <c r="Y14" s="204">
        <v>0.93920000000000003</v>
      </c>
      <c r="Z14" s="215">
        <f t="shared" si="11"/>
        <v>3.8582774946686271</v>
      </c>
      <c r="AA14" s="204">
        <v>1.0998000000000001</v>
      </c>
      <c r="AB14" s="215">
        <f t="shared" si="12"/>
        <v>4.2433335886365562</v>
      </c>
      <c r="AC14" s="211">
        <f>1.06</f>
        <v>1.06</v>
      </c>
      <c r="AD14" s="215">
        <f t="shared" si="13"/>
        <v>4.4979336039547499</v>
      </c>
      <c r="AE14" s="211">
        <f t="shared" si="14"/>
        <v>1.06</v>
      </c>
      <c r="AF14" s="215">
        <f t="shared" si="15"/>
        <v>4.7678096201920352</v>
      </c>
      <c r="AG14" s="211">
        <f t="shared" si="14"/>
        <v>1.06</v>
      </c>
      <c r="AH14" s="215">
        <f t="shared" si="21"/>
        <v>5.0538781974035576</v>
      </c>
      <c r="AI14" s="211">
        <f t="shared" si="14"/>
        <v>1.06</v>
      </c>
      <c r="AJ14" s="215">
        <f t="shared" si="22"/>
        <v>5.357110889247771</v>
      </c>
      <c r="AK14" s="211">
        <f t="shared" si="14"/>
        <v>1.06</v>
      </c>
      <c r="AL14" s="215">
        <f t="shared" si="16"/>
        <v>5.6785375426026379</v>
      </c>
      <c r="AM14" s="211">
        <f t="shared" si="14"/>
        <v>1.06</v>
      </c>
      <c r="AN14" s="215">
        <f t="shared" si="17"/>
        <v>6.0192497951587969</v>
      </c>
      <c r="AO14" s="211">
        <f t="shared" si="14"/>
        <v>1.06</v>
      </c>
      <c r="AP14" s="215">
        <f t="shared" si="18"/>
        <v>6.3804047828683252</v>
      </c>
      <c r="AQ14" s="211">
        <f t="shared" si="14"/>
        <v>1.06</v>
      </c>
      <c r="AR14" s="215">
        <f t="shared" si="19"/>
        <v>6.7632290698404249</v>
      </c>
      <c r="AS14" s="211">
        <f t="shared" si="14"/>
        <v>1.06</v>
      </c>
      <c r="AT14" s="215">
        <f t="shared" si="20"/>
        <v>7.1690228140308507</v>
      </c>
      <c r="AU14" s="211">
        <f t="shared" si="14"/>
        <v>1.06</v>
      </c>
      <c r="AV14" s="215">
        <f t="shared" si="23"/>
        <v>7.5991641828727019</v>
      </c>
      <c r="AW14" s="222"/>
      <c r="AX14" s="222"/>
      <c r="AY14" s="222"/>
      <c r="AZ14" s="222"/>
    </row>
    <row r="15" spans="1:52" x14ac:dyDescent="0.2">
      <c r="A15" s="221" t="s">
        <v>139</v>
      </c>
      <c r="B15" s="213">
        <v>0.5</v>
      </c>
      <c r="C15" s="214">
        <v>1.0166999999999999</v>
      </c>
      <c r="D15" s="215">
        <f t="shared" si="0"/>
        <v>0.50834999999999997</v>
      </c>
      <c r="E15" s="214">
        <v>1.0077</v>
      </c>
      <c r="F15" s="215">
        <f t="shared" si="1"/>
        <v>0.51226429500000004</v>
      </c>
      <c r="G15" s="214">
        <v>1.0097</v>
      </c>
      <c r="H15" s="215">
        <f t="shared" si="2"/>
        <v>0.51723325866150005</v>
      </c>
      <c r="I15" s="214">
        <v>0.99399999999999999</v>
      </c>
      <c r="J15" s="215">
        <f t="shared" si="3"/>
        <v>0.51412985910953102</v>
      </c>
      <c r="K15" s="214">
        <v>1.0141</v>
      </c>
      <c r="L15" s="215">
        <f t="shared" si="4"/>
        <v>0.52137909012297545</v>
      </c>
      <c r="M15" s="214">
        <v>1.0099</v>
      </c>
      <c r="N15" s="215">
        <f t="shared" si="5"/>
        <v>0.52654074311519294</v>
      </c>
      <c r="O15" s="216">
        <v>1.0308999999999999</v>
      </c>
      <c r="P15" s="215">
        <f t="shared" si="6"/>
        <v>0.54281085207745239</v>
      </c>
      <c r="Q15" s="217">
        <v>1.0448999999999999</v>
      </c>
      <c r="R15" s="215">
        <f t="shared" si="7"/>
        <v>0.56718305933572999</v>
      </c>
      <c r="S15" s="216">
        <v>1.016</v>
      </c>
      <c r="T15" s="215">
        <f t="shared" si="8"/>
        <v>0.57625798828510166</v>
      </c>
      <c r="U15" s="216">
        <v>1.0399</v>
      </c>
      <c r="V15" s="218">
        <f t="shared" si="9"/>
        <v>0.59925068201767728</v>
      </c>
      <c r="W15" s="216">
        <v>1.0607</v>
      </c>
      <c r="X15" s="219">
        <f t="shared" si="10"/>
        <v>0.63562519841615028</v>
      </c>
      <c r="Y15" s="204">
        <v>1.0093000000000001</v>
      </c>
      <c r="Z15" s="215">
        <f t="shared" si="11"/>
        <v>0.64153651276142054</v>
      </c>
      <c r="AA15" s="204">
        <v>1.0064</v>
      </c>
      <c r="AB15" s="215">
        <f t="shared" si="12"/>
        <v>0.6456423464430936</v>
      </c>
      <c r="AC15" s="211">
        <v>1.0169999999999999</v>
      </c>
      <c r="AD15" s="215">
        <f t="shared" si="13"/>
        <v>0.6566182663326261</v>
      </c>
      <c r="AE15" s="211">
        <f t="shared" si="14"/>
        <v>1.0169999999999999</v>
      </c>
      <c r="AF15" s="215">
        <f t="shared" si="15"/>
        <v>0.6677807768602807</v>
      </c>
      <c r="AG15" s="211">
        <f t="shared" si="14"/>
        <v>1.0169999999999999</v>
      </c>
      <c r="AH15" s="215">
        <f t="shared" si="21"/>
        <v>0.67913305006690539</v>
      </c>
      <c r="AI15" s="211">
        <f t="shared" si="14"/>
        <v>1.0169999999999999</v>
      </c>
      <c r="AJ15" s="215">
        <f t="shared" si="22"/>
        <v>0.69067831191804274</v>
      </c>
      <c r="AK15" s="211">
        <f t="shared" si="14"/>
        <v>1.0169999999999999</v>
      </c>
      <c r="AL15" s="215">
        <f t="shared" si="16"/>
        <v>0.70241984322064943</v>
      </c>
      <c r="AM15" s="211">
        <f t="shared" si="14"/>
        <v>1.0169999999999999</v>
      </c>
      <c r="AN15" s="215">
        <f t="shared" si="17"/>
        <v>0.71436098055540043</v>
      </c>
      <c r="AO15" s="211">
        <f t="shared" si="14"/>
        <v>1.0169999999999999</v>
      </c>
      <c r="AP15" s="215">
        <f t="shared" si="18"/>
        <v>0.72650511722484212</v>
      </c>
      <c r="AQ15" s="211">
        <f t="shared" si="14"/>
        <v>1.0169999999999999</v>
      </c>
      <c r="AR15" s="215">
        <f t="shared" si="19"/>
        <v>0.73885570421766433</v>
      </c>
      <c r="AS15" s="211">
        <f t="shared" si="14"/>
        <v>1.0169999999999999</v>
      </c>
      <c r="AT15" s="215">
        <f t="shared" si="20"/>
        <v>0.7514162511893645</v>
      </c>
      <c r="AU15" s="211">
        <f t="shared" si="14"/>
        <v>1.0169999999999999</v>
      </c>
      <c r="AV15" s="215">
        <f t="shared" si="23"/>
        <v>0.7641903274595836</v>
      </c>
      <c r="AW15" s="222"/>
      <c r="AX15" s="222"/>
      <c r="AY15" s="222"/>
      <c r="AZ15" s="222"/>
    </row>
    <row r="16" spans="1:52" x14ac:dyDescent="0.2">
      <c r="A16" s="212" t="s">
        <v>140</v>
      </c>
      <c r="B16" s="213">
        <v>11.75</v>
      </c>
      <c r="C16" s="214">
        <v>1.0349999999999999</v>
      </c>
      <c r="D16" s="215">
        <f t="shared" si="0"/>
        <v>12.161249999999999</v>
      </c>
      <c r="E16" s="214">
        <v>1.0458000000000001</v>
      </c>
      <c r="F16" s="215">
        <f t="shared" si="1"/>
        <v>12.718235249999999</v>
      </c>
      <c r="G16" s="214">
        <v>1.0363</v>
      </c>
      <c r="H16" s="215">
        <f t="shared" si="2"/>
        <v>13.179907189574999</v>
      </c>
      <c r="I16" s="214">
        <v>1.0385</v>
      </c>
      <c r="J16" s="215">
        <f t="shared" si="3"/>
        <v>13.687333616373637</v>
      </c>
      <c r="K16" s="214">
        <v>1.0481</v>
      </c>
      <c r="L16" s="215">
        <f t="shared" si="4"/>
        <v>14.34569436332121</v>
      </c>
      <c r="M16" s="214">
        <v>1.0406</v>
      </c>
      <c r="N16" s="215">
        <f t="shared" si="5"/>
        <v>14.928129554472051</v>
      </c>
      <c r="O16" s="216">
        <v>1.0448</v>
      </c>
      <c r="P16" s="215">
        <f t="shared" si="6"/>
        <v>15.596909758512398</v>
      </c>
      <c r="Q16" s="217">
        <v>1.0587</v>
      </c>
      <c r="R16" s="215">
        <f t="shared" si="7"/>
        <v>16.512448361337075</v>
      </c>
      <c r="S16" s="216">
        <v>1.0559000000000001</v>
      </c>
      <c r="T16" s="215">
        <f t="shared" si="8"/>
        <v>17.43549422473582</v>
      </c>
      <c r="U16" s="216">
        <v>1.0462</v>
      </c>
      <c r="V16" s="218">
        <f t="shared" si="9"/>
        <v>18.241014057918616</v>
      </c>
      <c r="W16" s="216">
        <v>1.0277000000000001</v>
      </c>
      <c r="X16" s="219">
        <f t="shared" si="10"/>
        <v>18.746290147322963</v>
      </c>
      <c r="Y16" s="204">
        <v>1.0232000000000001</v>
      </c>
      <c r="Z16" s="215">
        <f t="shared" si="11"/>
        <v>19.181204078740858</v>
      </c>
      <c r="AA16" s="204">
        <v>1.0265</v>
      </c>
      <c r="AB16" s="215">
        <f t="shared" si="12"/>
        <v>19.689505986827491</v>
      </c>
      <c r="AC16" s="211">
        <v>1.026</v>
      </c>
      <c r="AD16" s="215">
        <f t="shared" si="13"/>
        <v>20.201433142485005</v>
      </c>
      <c r="AE16" s="211">
        <f t="shared" si="14"/>
        <v>1.026</v>
      </c>
      <c r="AF16" s="215">
        <f t="shared" si="15"/>
        <v>20.726670404189615</v>
      </c>
      <c r="AG16" s="211">
        <f t="shared" si="14"/>
        <v>1.026</v>
      </c>
      <c r="AH16" s="215">
        <f t="shared" si="21"/>
        <v>21.265563834698547</v>
      </c>
      <c r="AI16" s="211">
        <f t="shared" si="14"/>
        <v>1.026</v>
      </c>
      <c r="AJ16" s="215">
        <f t="shared" si="22"/>
        <v>21.818468494400708</v>
      </c>
      <c r="AK16" s="211">
        <f t="shared" si="14"/>
        <v>1.026</v>
      </c>
      <c r="AL16" s="215">
        <f t="shared" si="16"/>
        <v>22.385748675255126</v>
      </c>
      <c r="AM16" s="211">
        <f t="shared" si="14"/>
        <v>1.026</v>
      </c>
      <c r="AN16" s="215">
        <f t="shared" si="17"/>
        <v>22.96777814081176</v>
      </c>
      <c r="AO16" s="211">
        <f t="shared" si="14"/>
        <v>1.026</v>
      </c>
      <c r="AP16" s="215">
        <f t="shared" si="18"/>
        <v>23.564940372472865</v>
      </c>
      <c r="AQ16" s="211">
        <f t="shared" si="14"/>
        <v>1.026</v>
      </c>
      <c r="AR16" s="215">
        <f t="shared" si="19"/>
        <v>24.17762882215716</v>
      </c>
      <c r="AS16" s="211">
        <f t="shared" si="14"/>
        <v>1.026</v>
      </c>
      <c r="AT16" s="215">
        <f t="shared" si="20"/>
        <v>24.806247171533247</v>
      </c>
      <c r="AU16" s="211">
        <f t="shared" si="14"/>
        <v>1.026</v>
      </c>
      <c r="AV16" s="215">
        <f t="shared" si="23"/>
        <v>25.451209597993113</v>
      </c>
      <c r="AW16" s="222"/>
      <c r="AX16" s="222"/>
      <c r="AY16" s="222"/>
      <c r="AZ16" s="222"/>
    </row>
    <row r="17" spans="1:52" x14ac:dyDescent="0.2">
      <c r="A17" s="212" t="s">
        <v>141</v>
      </c>
      <c r="B17" s="213">
        <v>5</v>
      </c>
      <c r="C17" s="214">
        <v>1.0346</v>
      </c>
      <c r="D17" s="215">
        <f t="shared" si="0"/>
        <v>5.173</v>
      </c>
      <c r="E17" s="214">
        <v>1.0065999999999999</v>
      </c>
      <c r="F17" s="215">
        <f t="shared" si="1"/>
        <v>5.2071417999999996</v>
      </c>
      <c r="G17" s="214">
        <v>1.0486</v>
      </c>
      <c r="H17" s="215">
        <f t="shared" si="2"/>
        <v>5.4602088914799998</v>
      </c>
      <c r="I17" s="214">
        <v>1.165</v>
      </c>
      <c r="J17" s="215">
        <f t="shared" si="3"/>
        <v>6.3611433585741999</v>
      </c>
      <c r="K17" s="214">
        <v>1.4046000000000001</v>
      </c>
      <c r="L17" s="215">
        <f t="shared" si="4"/>
        <v>8.934861961453322</v>
      </c>
      <c r="M17" s="214">
        <v>1.147</v>
      </c>
      <c r="N17" s="215">
        <f t="shared" si="5"/>
        <v>10.24828666978696</v>
      </c>
      <c r="O17" s="216">
        <v>1.0889</v>
      </c>
      <c r="P17" s="215">
        <f t="shared" si="6"/>
        <v>11.159359354731022</v>
      </c>
      <c r="Q17" s="217">
        <v>1.0254000000000001</v>
      </c>
      <c r="R17" s="215">
        <f t="shared" si="7"/>
        <v>11.44280708234119</v>
      </c>
      <c r="S17" s="216">
        <v>1.0187999999999999</v>
      </c>
      <c r="T17" s="215">
        <f t="shared" si="8"/>
        <v>11.657931855489204</v>
      </c>
      <c r="U17" s="216">
        <v>1.0233000000000001</v>
      </c>
      <c r="V17" s="218">
        <f t="shared" si="9"/>
        <v>11.929561667722105</v>
      </c>
      <c r="W17" s="216">
        <f>1-0.029</f>
        <v>0.97099999999999997</v>
      </c>
      <c r="X17" s="219">
        <f t="shared" si="10"/>
        <v>11.583604379358164</v>
      </c>
      <c r="Y17" s="204">
        <v>0.9798</v>
      </c>
      <c r="Z17" s="215">
        <f t="shared" si="11"/>
        <v>11.349615570895129</v>
      </c>
      <c r="AA17" s="204">
        <v>0.99639999999999995</v>
      </c>
      <c r="AB17" s="215">
        <f t="shared" si="12"/>
        <v>11.308756954839906</v>
      </c>
      <c r="AC17" s="211">
        <f>1-0.018</f>
        <v>0.98199999999999998</v>
      </c>
      <c r="AD17" s="215">
        <f t="shared" si="13"/>
        <v>11.105199329652788</v>
      </c>
      <c r="AE17" s="211">
        <f t="shared" si="14"/>
        <v>0.98199999999999998</v>
      </c>
      <c r="AF17" s="215">
        <f t="shared" si="15"/>
        <v>10.905305741719037</v>
      </c>
      <c r="AG17" s="211">
        <f t="shared" si="14"/>
        <v>0.98199999999999998</v>
      </c>
      <c r="AH17" s="215">
        <f t="shared" si="21"/>
        <v>10.709010238368094</v>
      </c>
      <c r="AI17" s="211">
        <f t="shared" si="14"/>
        <v>0.98199999999999998</v>
      </c>
      <c r="AJ17" s="215">
        <f t="shared" si="22"/>
        <v>10.516248054077469</v>
      </c>
      <c r="AK17" s="211">
        <f t="shared" si="14"/>
        <v>0.98199999999999998</v>
      </c>
      <c r="AL17" s="215">
        <f>B17*C17*E17*G17*I17*K17*M17*O17*Q17*S17*U17*W17*Y17*AA17*AC17*AE17*AG17*AI17*AK17</f>
        <v>10.326955589104074</v>
      </c>
      <c r="AM17" s="211">
        <f t="shared" si="14"/>
        <v>0.98199999999999998</v>
      </c>
      <c r="AN17" s="215">
        <f t="shared" si="17"/>
        <v>10.1410703885002</v>
      </c>
      <c r="AO17" s="211">
        <f t="shared" si="14"/>
        <v>0.98199999999999998</v>
      </c>
      <c r="AP17" s="215">
        <f t="shared" si="18"/>
        <v>9.9585311215071961</v>
      </c>
      <c r="AQ17" s="211">
        <f t="shared" si="14"/>
        <v>0.98199999999999998</v>
      </c>
      <c r="AR17" s="215">
        <f t="shared" si="19"/>
        <v>9.7792775613200664</v>
      </c>
      <c r="AS17" s="211">
        <f t="shared" si="14"/>
        <v>0.98199999999999998</v>
      </c>
      <c r="AT17" s="215">
        <f t="shared" si="20"/>
        <v>9.6032505652163049</v>
      </c>
      <c r="AU17" s="211">
        <f t="shared" si="14"/>
        <v>0.98199999999999998</v>
      </c>
      <c r="AV17" s="215">
        <f t="shared" si="23"/>
        <v>9.430392055042411</v>
      </c>
      <c r="AW17" s="222"/>
      <c r="AX17" s="222"/>
      <c r="AY17" s="222"/>
      <c r="AZ17" s="222"/>
    </row>
    <row r="18" spans="1:52" x14ac:dyDescent="0.2">
      <c r="A18" s="212" t="s">
        <v>142</v>
      </c>
      <c r="B18" s="213">
        <v>2.5</v>
      </c>
      <c r="C18" s="214">
        <v>1.0217000000000001</v>
      </c>
      <c r="D18" s="215">
        <f t="shared" si="0"/>
        <v>2.5542500000000001</v>
      </c>
      <c r="E18" s="214">
        <v>1.0193000000000001</v>
      </c>
      <c r="F18" s="215">
        <f t="shared" si="1"/>
        <v>2.6035470250000006</v>
      </c>
      <c r="G18" s="214">
        <v>1.0081</v>
      </c>
      <c r="H18" s="215">
        <f t="shared" si="2"/>
        <v>2.6246357559025006</v>
      </c>
      <c r="I18" s="214">
        <v>1.0094000000000001</v>
      </c>
      <c r="J18" s="215">
        <f t="shared" si="3"/>
        <v>2.6493073320079845</v>
      </c>
      <c r="K18" s="214">
        <v>1.0041</v>
      </c>
      <c r="L18" s="215">
        <f t="shared" si="4"/>
        <v>2.6601694920692172</v>
      </c>
      <c r="M18" s="214">
        <v>1.0118</v>
      </c>
      <c r="N18" s="215">
        <f t="shared" si="5"/>
        <v>2.6915594920756338</v>
      </c>
      <c r="O18" s="216">
        <v>1.0256000000000001</v>
      </c>
      <c r="P18" s="215">
        <f t="shared" si="6"/>
        <v>2.76046341507277</v>
      </c>
      <c r="Q18" s="217">
        <v>1.0548</v>
      </c>
      <c r="R18" s="215">
        <f t="shared" si="7"/>
        <v>2.9117368102187577</v>
      </c>
      <c r="S18" s="216">
        <v>1.0303</v>
      </c>
      <c r="T18" s="215">
        <f t="shared" si="8"/>
        <v>2.9999624355683863</v>
      </c>
      <c r="U18" s="216">
        <v>1.0227999999999999</v>
      </c>
      <c r="V18" s="218">
        <f t="shared" si="9"/>
        <v>3.0683615790993453</v>
      </c>
      <c r="W18" s="216">
        <v>1.0265</v>
      </c>
      <c r="X18" s="219">
        <f t="shared" si="10"/>
        <v>3.1496731609454778</v>
      </c>
      <c r="Y18" s="204">
        <v>1.0172000000000001</v>
      </c>
      <c r="Z18" s="215">
        <f t="shared" si="11"/>
        <v>3.2038475393137404</v>
      </c>
      <c r="AA18" s="204">
        <v>1.0368999999999999</v>
      </c>
      <c r="AB18" s="215">
        <f t="shared" si="12"/>
        <v>3.3220695135144171</v>
      </c>
      <c r="AC18" s="211">
        <v>1.0189999999999999</v>
      </c>
      <c r="AD18" s="215">
        <f t="shared" si="13"/>
        <v>3.3851888342711907</v>
      </c>
      <c r="AE18" s="211">
        <f>AC18</f>
        <v>1.0189999999999999</v>
      </c>
      <c r="AF18" s="215">
        <f>B18*C18*E18*G18*I18*K18*M18*O18*Q18*S18*U18*W18*Y18*AA18*AC18*AE18</f>
        <v>3.449507422122343</v>
      </c>
      <c r="AG18" s="211">
        <f>AE18</f>
        <v>1.0189999999999999</v>
      </c>
      <c r="AH18" s="215">
        <f t="shared" si="21"/>
        <v>3.5150480631426673</v>
      </c>
      <c r="AI18" s="211">
        <f>AG18</f>
        <v>1.0189999999999999</v>
      </c>
      <c r="AJ18" s="215">
        <f t="shared" si="22"/>
        <v>3.5818339763423777</v>
      </c>
      <c r="AK18" s="211">
        <f>AI18</f>
        <v>1.0189999999999999</v>
      </c>
      <c r="AL18" s="215">
        <f t="shared" si="16"/>
        <v>3.6498888218928824</v>
      </c>
      <c r="AM18" s="211">
        <f>AK18</f>
        <v>1.0189999999999999</v>
      </c>
      <c r="AN18" s="215">
        <f t="shared" si="17"/>
        <v>3.7192367095088468</v>
      </c>
      <c r="AO18" s="211">
        <f>AM18</f>
        <v>1.0189999999999999</v>
      </c>
      <c r="AP18" s="215">
        <f t="shared" si="18"/>
        <v>3.7899022069895145</v>
      </c>
      <c r="AQ18" s="211">
        <f>AO18</f>
        <v>1.0189999999999999</v>
      </c>
      <c r="AR18" s="215">
        <f t="shared" si="19"/>
        <v>3.861910348922315</v>
      </c>
      <c r="AS18" s="211">
        <f>AQ18</f>
        <v>1.0189999999999999</v>
      </c>
      <c r="AT18" s="215">
        <f t="shared" si="20"/>
        <v>3.9352866455518387</v>
      </c>
      <c r="AU18" s="211">
        <f>AS18</f>
        <v>1.0189999999999999</v>
      </c>
      <c r="AV18" s="215">
        <f>B18*C18*E18*G18*I18*K18*M18*O18*Q18*S18*U18*W18*Y18*AA18*AC18*AE18*AG18*AI18*AK18*AM18*AO18*AQ18*AS18*AU18</f>
        <v>4.0100570918173233</v>
      </c>
      <c r="AW18" s="222"/>
      <c r="AX18" s="222"/>
      <c r="AY18" s="222"/>
      <c r="AZ18" s="222"/>
    </row>
    <row r="19" spans="1:52" x14ac:dyDescent="0.2">
      <c r="AC19" s="222"/>
      <c r="AE19" s="204"/>
      <c r="AG19" s="222"/>
      <c r="AI19" s="222"/>
      <c r="AK19" s="222"/>
      <c r="AM19" s="222"/>
      <c r="AO19" s="222"/>
      <c r="AQ19" s="222"/>
      <c r="AS19" s="222"/>
      <c r="AU19" s="222"/>
    </row>
    <row r="20" spans="1:52" x14ac:dyDescent="0.2">
      <c r="A20" s="14"/>
      <c r="AS20" s="222"/>
    </row>
    <row r="21" spans="1:52" x14ac:dyDescent="0.2">
      <c r="A21" s="1"/>
      <c r="E21" s="238"/>
    </row>
    <row r="22" spans="1:52" x14ac:dyDescent="0.2">
      <c r="D22" s="239"/>
      <c r="H22" s="232"/>
      <c r="I22" s="232"/>
    </row>
    <row r="23" spans="1:52" x14ac:dyDescent="0.2">
      <c r="D23" s="240"/>
      <c r="F23" s="240"/>
      <c r="G23" s="240"/>
      <c r="H23" s="241"/>
      <c r="I23" s="241"/>
      <c r="J23" s="240"/>
      <c r="K23" s="240"/>
      <c r="L23" s="240"/>
      <c r="M23" s="240"/>
    </row>
    <row r="24" spans="1:52" x14ac:dyDescent="0.2">
      <c r="D24" s="240"/>
      <c r="F24" s="240"/>
      <c r="G24" s="240"/>
      <c r="H24" s="242"/>
      <c r="I24" s="241"/>
      <c r="J24" s="240"/>
      <c r="K24" s="240"/>
      <c r="L24" s="240"/>
      <c r="M24" s="240"/>
    </row>
    <row r="25" spans="1:52" x14ac:dyDescent="0.2">
      <c r="D25" s="240"/>
      <c r="F25" s="240"/>
      <c r="G25" s="240"/>
      <c r="H25" s="241"/>
      <c r="I25" s="241"/>
      <c r="J25" s="240"/>
      <c r="K25" s="240"/>
      <c r="L25" s="240"/>
      <c r="M25" s="240"/>
    </row>
    <row r="27" spans="1:52" x14ac:dyDescent="0.2">
      <c r="D27" s="212"/>
      <c r="E27" s="243"/>
      <c r="F27" s="244"/>
      <c r="G27" s="244"/>
      <c r="H27" s="244"/>
    </row>
    <row r="28" spans="1:52" x14ac:dyDescent="0.2">
      <c r="A28" s="3"/>
      <c r="D28" s="244"/>
      <c r="E28" s="244"/>
      <c r="F28" s="244"/>
      <c r="G28" s="244"/>
      <c r="H28" s="244"/>
    </row>
  </sheetData>
  <sheetProtection selectLockedCells="1" selectUnlockedCells="1"/>
  <customSheetViews>
    <customSheetView guid="{B9D65FB4-15BC-4D34-889C-60A882C02814}" scale="125" showPageBreaks="1" fitToPage="1" view="pageBreakPreview" showRuler="0">
      <pane xSplit="1" topLeftCell="B1" activePane="topRight" state="frozen"/>
      <selection pane="topRight" activeCell="G31" sqref="G31"/>
      <pageMargins left="0.75" right="0.75" top="1" bottom="1" header="0.5" footer="0.5"/>
      <printOptions headings="1" gridLines="1"/>
      <pageSetup scale="53" orientation="landscape"/>
      <headerFooter alignWithMargins="0"/>
    </customSheetView>
  </customSheetViews>
  <mergeCells count="2">
    <mergeCell ref="A2:XFD2"/>
    <mergeCell ref="A1:K1"/>
  </mergeCells>
  <phoneticPr fontId="10" type="noConversion"/>
  <printOptions headings="1" gridLines="1"/>
  <pageMargins left="0.75" right="0.75" top="1" bottom="1" header="0.5" footer="0.5"/>
  <pageSetup scale="41" orientation="landscape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G101"/>
  <sheetViews>
    <sheetView view="pageBreakPreview" topLeftCell="A78" zoomScaleNormal="100" zoomScaleSheetLayoutView="100" workbookViewId="0">
      <selection activeCell="B84" sqref="B84"/>
    </sheetView>
  </sheetViews>
  <sheetFormatPr defaultColWidth="8.7109375" defaultRowHeight="12.75" x14ac:dyDescent="0.2"/>
  <cols>
    <col min="1" max="1" width="14.85546875" style="220" customWidth="1"/>
    <col min="2" max="2" width="17.140625" style="220" customWidth="1"/>
    <col min="3" max="4" width="10.28515625" style="220" customWidth="1"/>
    <col min="5" max="5" width="11.42578125" style="220" customWidth="1"/>
    <col min="6" max="6" width="12.42578125" style="220" customWidth="1"/>
    <col min="7" max="16384" width="8.7109375" style="220"/>
  </cols>
  <sheetData>
    <row r="1" spans="1:85" s="230" customFormat="1" ht="117.75" customHeight="1" x14ac:dyDescent="0.2">
      <c r="A1" s="312" t="s">
        <v>113</v>
      </c>
      <c r="B1" s="312"/>
      <c r="C1" s="312"/>
      <c r="D1" s="312"/>
      <c r="E1" s="312"/>
      <c r="F1" s="312"/>
      <c r="G1" s="312"/>
    </row>
    <row r="2" spans="1:85" s="230" customFormat="1" ht="12.75" customHeight="1" x14ac:dyDescent="0.2">
      <c r="A2" s="225"/>
      <c r="B2" s="225"/>
      <c r="C2" s="225"/>
      <c r="D2" s="225"/>
      <c r="E2" s="225"/>
      <c r="F2" s="225"/>
      <c r="G2" s="225"/>
    </row>
    <row r="3" spans="1:85" x14ac:dyDescent="0.2">
      <c r="A3" s="1" t="s">
        <v>143</v>
      </c>
    </row>
    <row r="5" spans="1:85" x14ac:dyDescent="0.2">
      <c r="A5" s="1" t="s">
        <v>144</v>
      </c>
      <c r="E5" s="238"/>
    </row>
    <row r="6" spans="1:85" x14ac:dyDescent="0.2">
      <c r="A6" s="1"/>
      <c r="E6" s="238"/>
    </row>
    <row r="7" spans="1:85" x14ac:dyDescent="0.2">
      <c r="A7" s="10" t="s">
        <v>145</v>
      </c>
      <c r="B7" s="245"/>
      <c r="C7" s="246"/>
      <c r="D7" s="247"/>
      <c r="E7" s="247"/>
      <c r="F7" s="248"/>
      <c r="H7" s="249"/>
    </row>
    <row r="8" spans="1:85" x14ac:dyDescent="0.2">
      <c r="A8" s="8" t="s">
        <v>89</v>
      </c>
      <c r="B8" s="8" t="s">
        <v>146</v>
      </c>
      <c r="C8" s="8" t="s">
        <v>147</v>
      </c>
      <c r="D8" s="247"/>
      <c r="E8" s="247"/>
      <c r="F8" s="11"/>
      <c r="H8" s="249"/>
    </row>
    <row r="9" spans="1:85" x14ac:dyDescent="0.2">
      <c r="A9" s="12" t="s">
        <v>148</v>
      </c>
      <c r="B9" s="250">
        <f>'Construction Cost Backing Data'!B7</f>
        <v>101.82104</v>
      </c>
      <c r="C9" s="251">
        <f>'Construction Cost Backing Data'!C7</f>
        <v>23.559119999999997</v>
      </c>
      <c r="D9" s="252"/>
      <c r="G9" s="252"/>
      <c r="H9" s="253"/>
    </row>
    <row r="10" spans="1:85" x14ac:dyDescent="0.2">
      <c r="A10" s="12" t="s">
        <v>149</v>
      </c>
      <c r="B10" s="250">
        <f>'Construction Cost Backing Data'!B8</f>
        <v>148.60368</v>
      </c>
      <c r="C10" s="251">
        <f>'Construction Cost Backing Data'!C8</f>
        <v>23.559119999999997</v>
      </c>
      <c r="D10" s="252"/>
      <c r="G10" s="252"/>
      <c r="H10" s="253"/>
    </row>
    <row r="11" spans="1:85" x14ac:dyDescent="0.2">
      <c r="A11" s="12" t="s">
        <v>150</v>
      </c>
      <c r="B11" s="250">
        <f>'Construction Cost Backing Data'!B9</f>
        <v>174.78047999999998</v>
      </c>
      <c r="C11" s="251">
        <f>'Construction Cost Backing Data'!C9</f>
        <v>31.277919999999998</v>
      </c>
      <c r="D11" s="252"/>
      <c r="G11" s="252"/>
      <c r="H11" s="253"/>
    </row>
    <row r="12" spans="1:85" x14ac:dyDescent="0.2">
      <c r="A12" s="1"/>
      <c r="E12" s="238"/>
    </row>
    <row r="13" spans="1:85" s="254" customFormat="1" x14ac:dyDescent="0.2">
      <c r="A13" s="220"/>
      <c r="B13" s="220"/>
      <c r="C13" s="220"/>
      <c r="D13" s="220"/>
      <c r="E13" s="243"/>
      <c r="F13" s="220"/>
      <c r="G13" s="232"/>
      <c r="H13" s="232"/>
      <c r="I13" s="232"/>
      <c r="J13" s="232"/>
      <c r="K13" s="232"/>
      <c r="L13" s="232"/>
      <c r="M13" s="232"/>
      <c r="N13" s="232"/>
      <c r="O13" s="232"/>
      <c r="P13" s="232"/>
      <c r="Q13" s="232"/>
      <c r="R13" s="232"/>
      <c r="S13" s="232"/>
      <c r="T13" s="232"/>
      <c r="U13" s="232"/>
      <c r="V13" s="232"/>
      <c r="W13" s="232"/>
      <c r="X13" s="232"/>
      <c r="Y13" s="232"/>
      <c r="Z13" s="232"/>
      <c r="AA13" s="232"/>
      <c r="AB13" s="232"/>
      <c r="AC13" s="232"/>
      <c r="AD13" s="232"/>
      <c r="AE13" s="232"/>
      <c r="AF13" s="232"/>
      <c r="AG13" s="232"/>
      <c r="AH13" s="232"/>
      <c r="AI13" s="232"/>
      <c r="AJ13" s="232"/>
      <c r="AK13" s="232"/>
      <c r="AL13" s="232"/>
      <c r="AM13" s="232"/>
      <c r="AN13" s="232"/>
      <c r="AO13" s="232"/>
      <c r="AP13" s="232"/>
      <c r="AQ13" s="232"/>
      <c r="AR13" s="232"/>
      <c r="AS13" s="232"/>
      <c r="AT13" s="232"/>
      <c r="AU13" s="232"/>
      <c r="AV13" s="232"/>
      <c r="AW13" s="232"/>
      <c r="AX13" s="232"/>
      <c r="AY13" s="232"/>
      <c r="AZ13" s="232"/>
      <c r="BA13" s="232"/>
      <c r="BB13" s="232"/>
      <c r="BC13" s="232"/>
      <c r="BD13" s="232"/>
      <c r="BE13" s="232"/>
      <c r="BF13" s="232"/>
      <c r="BG13" s="232"/>
      <c r="BH13" s="232"/>
      <c r="BI13" s="232"/>
      <c r="BJ13" s="232"/>
      <c r="BK13" s="232"/>
      <c r="BL13" s="232"/>
      <c r="BM13" s="232"/>
      <c r="BN13" s="232"/>
      <c r="BO13" s="232"/>
      <c r="BP13" s="232"/>
      <c r="BQ13" s="232"/>
      <c r="BR13" s="232"/>
      <c r="BS13" s="232"/>
      <c r="BT13" s="232"/>
      <c r="BU13" s="232"/>
      <c r="BV13" s="232"/>
      <c r="BW13" s="232"/>
      <c r="BX13" s="232"/>
      <c r="BY13" s="232"/>
      <c r="BZ13" s="232"/>
      <c r="CA13" s="232"/>
      <c r="CB13" s="232"/>
      <c r="CC13" s="232"/>
      <c r="CD13" s="232"/>
      <c r="CE13" s="232"/>
      <c r="CF13" s="232"/>
      <c r="CG13" s="232"/>
    </row>
    <row r="14" spans="1:85" s="254" customFormat="1" x14ac:dyDescent="0.2">
      <c r="E14" s="255"/>
    </row>
    <row r="16" spans="1:85" x14ac:dyDescent="0.2">
      <c r="A16" s="1" t="s">
        <v>151</v>
      </c>
    </row>
    <row r="18" spans="1:3" x14ac:dyDescent="0.2">
      <c r="A18" s="8" t="s">
        <v>89</v>
      </c>
      <c r="B18" s="8" t="s">
        <v>146</v>
      </c>
      <c r="C18" s="8" t="s">
        <v>147</v>
      </c>
    </row>
    <row r="19" spans="1:3" x14ac:dyDescent="0.2">
      <c r="A19" s="8" t="s">
        <v>148</v>
      </c>
      <c r="B19" s="250">
        <f>'Construction Cost Backing Data'!B26</f>
        <v>129.92270559210527</v>
      </c>
      <c r="C19" s="250">
        <f>'Construction Cost Backing Data'!C26</f>
        <v>32.614400000000003</v>
      </c>
    </row>
    <row r="20" spans="1:3" x14ac:dyDescent="0.2">
      <c r="A20" s="8" t="s">
        <v>149</v>
      </c>
      <c r="B20" s="250">
        <f>'Construction Cost Backing Data'!B27</f>
        <v>153.68369158878502</v>
      </c>
      <c r="C20" s="250">
        <f>'Construction Cost Backing Data'!C27</f>
        <v>32.741799999999998</v>
      </c>
    </row>
    <row r="21" spans="1:3" x14ac:dyDescent="0.2">
      <c r="A21" s="8" t="s">
        <v>150</v>
      </c>
      <c r="B21" s="250">
        <f>'Construction Cost Backing Data'!B28</f>
        <v>177.99943396226413</v>
      </c>
      <c r="C21" s="250">
        <f>'Construction Cost Backing Data'!C28</f>
        <v>33.442500000000003</v>
      </c>
    </row>
    <row r="22" spans="1:3" x14ac:dyDescent="0.2">
      <c r="A22" s="9"/>
      <c r="B22" s="244"/>
      <c r="C22" s="244"/>
    </row>
    <row r="24" spans="1:3" s="254" customFormat="1" x14ac:dyDescent="0.2"/>
    <row r="26" spans="1:3" x14ac:dyDescent="0.2">
      <c r="A26" s="1" t="s">
        <v>152</v>
      </c>
    </row>
    <row r="28" spans="1:3" x14ac:dyDescent="0.2">
      <c r="A28" s="8" t="s">
        <v>89</v>
      </c>
      <c r="B28" s="8" t="s">
        <v>146</v>
      </c>
      <c r="C28" s="8" t="s">
        <v>147</v>
      </c>
    </row>
    <row r="29" spans="1:3" x14ac:dyDescent="0.2">
      <c r="A29" s="8" t="s">
        <v>148</v>
      </c>
      <c r="B29" s="250">
        <f>'Construction Cost Backing Data'!B47</f>
        <v>144.9525311325188</v>
      </c>
      <c r="C29" s="250">
        <f>'Construction Cost Backing Data'!C47</f>
        <v>35.631999999999998</v>
      </c>
    </row>
    <row r="30" spans="1:3" x14ac:dyDescent="0.2">
      <c r="A30" s="8" t="s">
        <v>149</v>
      </c>
      <c r="B30" s="250">
        <f>'Construction Cost Backing Data'!B48</f>
        <v>170.3</v>
      </c>
      <c r="C30" s="250">
        <f>'Construction Cost Backing Data'!C48</f>
        <v>35.763000000000005</v>
      </c>
    </row>
    <row r="31" spans="1:3" x14ac:dyDescent="0.2">
      <c r="A31" s="8" t="s">
        <v>150</v>
      </c>
      <c r="B31" s="250">
        <f>'Construction Cost Backing Data'!B49</f>
        <v>200.14575471698112</v>
      </c>
      <c r="C31" s="250">
        <f>'Construction Cost Backing Data'!C49</f>
        <v>36.548999999999999</v>
      </c>
    </row>
    <row r="32" spans="1:3" x14ac:dyDescent="0.2">
      <c r="A32" s="9"/>
      <c r="B32" s="244"/>
      <c r="C32" s="244"/>
    </row>
    <row r="34" spans="1:7" s="254" customFormat="1" x14ac:dyDescent="0.2"/>
    <row r="36" spans="1:7" x14ac:dyDescent="0.2">
      <c r="A36" s="1" t="s">
        <v>153</v>
      </c>
    </row>
    <row r="38" spans="1:7" x14ac:dyDescent="0.2">
      <c r="A38" s="8" t="s">
        <v>89</v>
      </c>
      <c r="B38" s="8" t="s">
        <v>146</v>
      </c>
      <c r="C38" s="8" t="s">
        <v>147</v>
      </c>
    </row>
    <row r="39" spans="1:7" x14ac:dyDescent="0.2">
      <c r="A39" s="8" t="s">
        <v>148</v>
      </c>
      <c r="B39" s="250">
        <f>'Construction Cost Backing Data'!B68</f>
        <v>153.10500798872181</v>
      </c>
      <c r="C39" s="250">
        <f>'Construction Cost Backing Data'!C68</f>
        <v>37.229700000000001</v>
      </c>
    </row>
    <row r="40" spans="1:7" x14ac:dyDescent="0.2">
      <c r="A40" s="8" t="s">
        <v>149</v>
      </c>
      <c r="B40" s="250">
        <f>'Construction Cost Backing Data'!B69</f>
        <v>180.37051401869158</v>
      </c>
      <c r="C40" s="250">
        <f>'Construction Cost Backing Data'!C69</f>
        <v>37.294000000000004</v>
      </c>
    </row>
    <row r="41" spans="1:7" x14ac:dyDescent="0.2">
      <c r="A41" s="8" t="s">
        <v>150</v>
      </c>
      <c r="B41" s="250">
        <f>'Construction Cost Backing Data'!B70</f>
        <v>212.85726415094337</v>
      </c>
      <c r="C41" s="250">
        <f>'Construction Cost Backing Data'!C70</f>
        <v>38.194200000000002</v>
      </c>
    </row>
    <row r="42" spans="1:7" x14ac:dyDescent="0.2">
      <c r="A42" s="9"/>
      <c r="B42" s="244"/>
      <c r="C42" s="244"/>
    </row>
    <row r="44" spans="1:7" x14ac:dyDescent="0.2">
      <c r="A44" s="254"/>
      <c r="B44" s="254"/>
      <c r="C44" s="254"/>
      <c r="D44" s="254"/>
      <c r="E44" s="254"/>
      <c r="F44" s="254"/>
      <c r="G44" s="254"/>
    </row>
    <row r="46" spans="1:7" x14ac:dyDescent="0.2">
      <c r="A46" s="1" t="s">
        <v>154</v>
      </c>
    </row>
    <row r="48" spans="1:7" x14ac:dyDescent="0.2">
      <c r="A48" s="8" t="s">
        <v>89</v>
      </c>
      <c r="B48" s="8" t="s">
        <v>146</v>
      </c>
      <c r="C48" s="8" t="s">
        <v>147</v>
      </c>
    </row>
    <row r="49" spans="1:7" x14ac:dyDescent="0.2">
      <c r="A49" s="8" t="s">
        <v>148</v>
      </c>
      <c r="B49" s="250">
        <f>'Construction Cost Backing Data'!B89</f>
        <v>159.78148496240604</v>
      </c>
      <c r="C49" s="250">
        <f>'Construction Cost Backing Data'!C89</f>
        <v>39.455000000000013</v>
      </c>
    </row>
    <row r="50" spans="1:7" x14ac:dyDescent="0.2">
      <c r="A50" s="8" t="s">
        <v>149</v>
      </c>
      <c r="B50" s="250">
        <f>'Construction Cost Backing Data'!B90</f>
        <v>187.95327102803742</v>
      </c>
      <c r="C50" s="250">
        <f>'Construction Cost Backing Data'!C90</f>
        <v>39.520000000000003</v>
      </c>
    </row>
    <row r="51" spans="1:7" x14ac:dyDescent="0.2">
      <c r="A51" s="8" t="s">
        <v>150</v>
      </c>
      <c r="B51" s="250">
        <f>'Construction Cost Backing Data'!B91</f>
        <v>240.25471698113211</v>
      </c>
      <c r="C51" s="250">
        <f>'Construction Cost Backing Data'!C91</f>
        <v>40.495000000000005</v>
      </c>
    </row>
    <row r="54" spans="1:7" x14ac:dyDescent="0.2">
      <c r="A54" s="254"/>
      <c r="B54" s="254"/>
      <c r="C54" s="254"/>
      <c r="D54" s="254"/>
      <c r="E54" s="254"/>
      <c r="F54" s="254"/>
      <c r="G54" s="254"/>
    </row>
    <row r="56" spans="1:7" x14ac:dyDescent="0.2">
      <c r="A56" s="1" t="s">
        <v>155</v>
      </c>
    </row>
    <row r="58" spans="1:7" x14ac:dyDescent="0.2">
      <c r="A58" s="8" t="s">
        <v>89</v>
      </c>
      <c r="B58" s="8" t="s">
        <v>146</v>
      </c>
      <c r="C58" s="8" t="s">
        <v>147</v>
      </c>
    </row>
    <row r="59" spans="1:7" x14ac:dyDescent="0.2">
      <c r="A59" s="8" t="s">
        <v>148</v>
      </c>
      <c r="B59" s="250">
        <f>'Construction Cost Backing Data'!B110</f>
        <v>181.41036536654133</v>
      </c>
      <c r="C59" s="250">
        <f>'Construction Cost Backing Data'!C110</f>
        <v>44.022000000000006</v>
      </c>
    </row>
    <row r="60" spans="1:7" x14ac:dyDescent="0.2">
      <c r="A60" s="8" t="s">
        <v>149</v>
      </c>
      <c r="B60" s="250">
        <f>'Construction Cost Backing Data'!B111</f>
        <v>213.06598130841121</v>
      </c>
      <c r="C60" s="250">
        <f>'Construction Cost Backing Data'!C111</f>
        <v>44.088699999999996</v>
      </c>
    </row>
    <row r="61" spans="1:7" x14ac:dyDescent="0.2">
      <c r="A61" s="8" t="s">
        <v>150</v>
      </c>
      <c r="B61" s="250">
        <f>'Construction Cost Backing Data'!B112</f>
        <v>278.06349056603773</v>
      </c>
      <c r="C61" s="250">
        <f>'Construction Cost Backing Data'!C112</f>
        <v>45.155900000000003</v>
      </c>
    </row>
    <row r="64" spans="1:7" x14ac:dyDescent="0.2">
      <c r="A64" s="254"/>
      <c r="B64" s="254"/>
      <c r="C64" s="254"/>
      <c r="D64" s="254"/>
      <c r="E64" s="254"/>
      <c r="F64" s="254"/>
      <c r="G64" s="254"/>
    </row>
    <row r="66" spans="1:7" x14ac:dyDescent="0.2">
      <c r="A66" s="1" t="s">
        <v>156</v>
      </c>
    </row>
    <row r="68" spans="1:7" x14ac:dyDescent="0.2">
      <c r="A68" s="8" t="s">
        <v>89</v>
      </c>
      <c r="B68" s="8" t="s">
        <v>146</v>
      </c>
      <c r="C68" s="8" t="s">
        <v>147</v>
      </c>
    </row>
    <row r="69" spans="1:7" x14ac:dyDescent="0.2">
      <c r="A69" s="8" t="s">
        <v>148</v>
      </c>
      <c r="B69" s="250">
        <f>'Construction Cost Backing Data'!B131</f>
        <v>175.40963839285715</v>
      </c>
      <c r="C69" s="250">
        <f>'Construction Cost Backing Data'!C131</f>
        <v>44.619900000000001</v>
      </c>
    </row>
    <row r="70" spans="1:7" x14ac:dyDescent="0.2">
      <c r="A70" s="8" t="s">
        <v>149</v>
      </c>
      <c r="B70" s="250">
        <f>'Construction Cost Backing Data'!B132</f>
        <v>209.54200934579436</v>
      </c>
      <c r="C70" s="250">
        <f>'Construction Cost Backing Data'!C132</f>
        <v>44.687200000000004</v>
      </c>
    </row>
    <row r="71" spans="1:7" x14ac:dyDescent="0.2">
      <c r="A71" s="8" t="s">
        <v>150</v>
      </c>
      <c r="B71" s="250">
        <f>'Construction Cost Backing Data'!B133</f>
        <v>280.12037735849054</v>
      </c>
      <c r="C71" s="250">
        <f>'Construction Cost Backing Data'!C133</f>
        <v>45.764000000000003</v>
      </c>
    </row>
    <row r="74" spans="1:7" x14ac:dyDescent="0.2">
      <c r="A74" s="254"/>
      <c r="B74" s="254"/>
      <c r="C74" s="254"/>
      <c r="D74" s="254"/>
      <c r="E74" s="254"/>
      <c r="F74" s="254"/>
      <c r="G74" s="254"/>
    </row>
    <row r="76" spans="1:7" x14ac:dyDescent="0.2">
      <c r="A76" s="1" t="s">
        <v>157</v>
      </c>
    </row>
    <row r="78" spans="1:7" x14ac:dyDescent="0.2">
      <c r="A78" s="8" t="s">
        <v>89</v>
      </c>
      <c r="B78" s="8" t="s">
        <v>146</v>
      </c>
      <c r="C78" s="8" t="s">
        <v>147</v>
      </c>
    </row>
    <row r="79" spans="1:7" x14ac:dyDescent="0.2">
      <c r="A79" s="8" t="s">
        <v>148</v>
      </c>
      <c r="B79" s="250">
        <f>'Construction Cost Backing Data'!B152</f>
        <v>189.62648437500002</v>
      </c>
      <c r="C79" s="250">
        <f>'Construction Cost Backing Data'!C152</f>
        <v>44.954000000000001</v>
      </c>
    </row>
    <row r="80" spans="1:7" x14ac:dyDescent="0.2">
      <c r="A80" s="8" t="s">
        <v>149</v>
      </c>
      <c r="B80" s="250">
        <f>'Construction Cost Backing Data'!B153</f>
        <v>216.56004672897197</v>
      </c>
      <c r="C80" s="250">
        <f>'Construction Cost Backing Data'!C153</f>
        <v>45.020500000000006</v>
      </c>
    </row>
    <row r="81" spans="1:3" x14ac:dyDescent="0.2">
      <c r="A81" s="8" t="s">
        <v>150</v>
      </c>
      <c r="B81" s="250">
        <f>'Construction Cost Backing Data'!B154</f>
        <v>285.38537735849053</v>
      </c>
      <c r="C81" s="250">
        <f>'Construction Cost Backing Data'!C154</f>
        <v>46.084499999999998</v>
      </c>
    </row>
    <row r="86" spans="1:3" x14ac:dyDescent="0.2">
      <c r="A86" s="1" t="s">
        <v>158</v>
      </c>
    </row>
    <row r="88" spans="1:3" x14ac:dyDescent="0.2">
      <c r="A88" s="8" t="s">
        <v>89</v>
      </c>
      <c r="B88" s="8" t="s">
        <v>146</v>
      </c>
      <c r="C88" s="8" t="s">
        <v>147</v>
      </c>
    </row>
    <row r="89" spans="1:3" x14ac:dyDescent="0.2">
      <c r="A89" s="8" t="s">
        <v>148</v>
      </c>
      <c r="B89" s="250">
        <f>'Construction Cost Backing Data'!B174</f>
        <v>202.4127612781954</v>
      </c>
      <c r="C89" s="250">
        <f>'Construction Cost Backing Data'!C174</f>
        <v>47.363199999999999</v>
      </c>
    </row>
    <row r="90" spans="1:3" x14ac:dyDescent="0.2">
      <c r="A90" s="8" t="s">
        <v>149</v>
      </c>
      <c r="B90" s="250">
        <f>'Construction Cost Backing Data'!B175</f>
        <v>230.70355140186908</v>
      </c>
      <c r="C90" s="250">
        <f>'Construction Cost Backing Data'!C175</f>
        <v>47.428799999999995</v>
      </c>
    </row>
    <row r="91" spans="1:3" x14ac:dyDescent="0.2">
      <c r="A91" s="8" t="s">
        <v>150</v>
      </c>
      <c r="B91" s="250">
        <f>'Construction Cost Backing Data'!B176</f>
        <v>296.4996226415094</v>
      </c>
      <c r="C91" s="250">
        <f>'Construction Cost Backing Data'!C176</f>
        <v>45.460799999999992</v>
      </c>
    </row>
    <row r="96" spans="1:3" x14ac:dyDescent="0.2">
      <c r="A96" s="1" t="s">
        <v>189</v>
      </c>
    </row>
    <row r="98" spans="1:3" x14ac:dyDescent="0.2">
      <c r="A98" s="8" t="s">
        <v>89</v>
      </c>
      <c r="B98" s="8" t="s">
        <v>146</v>
      </c>
      <c r="C98" s="8" t="s">
        <v>147</v>
      </c>
    </row>
    <row r="99" spans="1:3" x14ac:dyDescent="0.2">
      <c r="A99" s="8" t="s">
        <v>148</v>
      </c>
      <c r="B99" s="250">
        <f>'Construction Cost Backing Data'!B198</f>
        <v>216.52674763257573</v>
      </c>
      <c r="C99" s="250">
        <f>'Construction Cost Backing Data'!C198</f>
        <v>51.894099999999995</v>
      </c>
    </row>
    <row r="100" spans="1:3" x14ac:dyDescent="0.2">
      <c r="A100" s="8" t="s">
        <v>149</v>
      </c>
      <c r="B100" s="250">
        <f>'Construction Cost Backing Data'!B199</f>
        <v>234.97228971962616</v>
      </c>
      <c r="C100" s="250">
        <f>'Construction Cost Backing Data'!C199</f>
        <v>51.963200000000001</v>
      </c>
    </row>
    <row r="101" spans="1:3" x14ac:dyDescent="0.2">
      <c r="A101" s="8" t="s">
        <v>150</v>
      </c>
      <c r="B101" s="250">
        <f>'Construction Cost Backing Data'!B200</f>
        <v>292.46900943396224</v>
      </c>
      <c r="C101" s="250">
        <f>'Construction Cost Backing Data'!C200</f>
        <v>53.206999999999994</v>
      </c>
    </row>
  </sheetData>
  <sheetProtection selectLockedCells="1" selectUnlockedCells="1"/>
  <mergeCells count="1">
    <mergeCell ref="A1:G1"/>
  </mergeCells>
  <phoneticPr fontId="12" type="noConversion"/>
  <pageMargins left="0.75" right="0.75" top="1" bottom="1" header="0.5" footer="0.5"/>
  <pageSetup scale="6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2"/>
  <sheetViews>
    <sheetView view="pageBreakPreview" topLeftCell="A188" zoomScaleNormal="100" zoomScaleSheetLayoutView="100" workbookViewId="0">
      <selection activeCell="C198" sqref="C198"/>
    </sheetView>
  </sheetViews>
  <sheetFormatPr defaultColWidth="8.7109375" defaultRowHeight="12.75" x14ac:dyDescent="0.2"/>
  <cols>
    <col min="1" max="1" width="16.7109375" style="220" customWidth="1"/>
    <col min="2" max="2" width="14.7109375" style="220" customWidth="1"/>
    <col min="3" max="3" width="11.28515625" style="220" customWidth="1"/>
    <col min="4" max="4" width="11" style="220" customWidth="1"/>
    <col min="5" max="5" width="13" style="220" customWidth="1"/>
    <col min="6" max="6" width="11.5703125" style="220" customWidth="1"/>
    <col min="7" max="7" width="12" style="220" customWidth="1"/>
    <col min="8" max="16384" width="8.7109375" style="220"/>
  </cols>
  <sheetData>
    <row r="1" spans="1:7" x14ac:dyDescent="0.2">
      <c r="A1" s="1" t="s">
        <v>143</v>
      </c>
    </row>
    <row r="3" spans="1:7" x14ac:dyDescent="0.2">
      <c r="A3" s="1" t="s">
        <v>144</v>
      </c>
      <c r="E3" s="238"/>
    </row>
    <row r="4" spans="1:7" x14ac:dyDescent="0.2">
      <c r="A4" s="1"/>
      <c r="E4" s="238"/>
    </row>
    <row r="5" spans="1:7" x14ac:dyDescent="0.2">
      <c r="A5" s="10" t="s">
        <v>145</v>
      </c>
      <c r="B5" s="245"/>
      <c r="C5" s="246"/>
      <c r="D5" s="247"/>
      <c r="E5" s="247"/>
      <c r="F5" s="248"/>
    </row>
    <row r="6" spans="1:7" x14ac:dyDescent="0.2">
      <c r="A6" s="8" t="s">
        <v>89</v>
      </c>
      <c r="B6" s="8" t="s">
        <v>146</v>
      </c>
      <c r="C6" s="8" t="s">
        <v>147</v>
      </c>
      <c r="D6" s="247"/>
      <c r="E6" s="247"/>
      <c r="F6" s="11"/>
    </row>
    <row r="7" spans="1:7" x14ac:dyDescent="0.2">
      <c r="A7" s="12" t="s">
        <v>148</v>
      </c>
      <c r="B7" s="250">
        <f>C13*$E$17</f>
        <v>101.82104</v>
      </c>
      <c r="C7" s="250">
        <f>E13*$E$17</f>
        <v>23.559119999999997</v>
      </c>
      <c r="D7" s="252"/>
      <c r="E7" s="252"/>
      <c r="F7" s="256"/>
      <c r="G7" s="252"/>
    </row>
    <row r="8" spans="1:7" x14ac:dyDescent="0.2">
      <c r="A8" s="12" t="s">
        <v>149</v>
      </c>
      <c r="B8" s="250">
        <f>C14*$E$17</f>
        <v>148.60368</v>
      </c>
      <c r="C8" s="250">
        <f>E14*$E$17</f>
        <v>23.559119999999997</v>
      </c>
      <c r="D8" s="252"/>
      <c r="E8" s="252"/>
      <c r="F8" s="256"/>
      <c r="G8" s="252"/>
    </row>
    <row r="9" spans="1:7" x14ac:dyDescent="0.2">
      <c r="A9" s="12" t="s">
        <v>150</v>
      </c>
      <c r="B9" s="250">
        <f>C15*$E$17</f>
        <v>174.78047999999998</v>
      </c>
      <c r="C9" s="250">
        <f>E15*$E$17</f>
        <v>31.277919999999998</v>
      </c>
      <c r="D9" s="252"/>
      <c r="E9" s="252"/>
      <c r="F9" s="256"/>
      <c r="G9" s="252"/>
    </row>
    <row r="10" spans="1:7" x14ac:dyDescent="0.2">
      <c r="A10" s="1"/>
      <c r="E10" s="238"/>
    </row>
    <row r="11" spans="1:7" x14ac:dyDescent="0.2">
      <c r="A11" s="315" t="s">
        <v>159</v>
      </c>
      <c r="B11" s="316"/>
      <c r="C11" s="316"/>
      <c r="D11" s="316"/>
      <c r="E11" s="316"/>
      <c r="F11" s="316"/>
      <c r="G11" s="317"/>
    </row>
    <row r="12" spans="1:7" ht="38.25" x14ac:dyDescent="0.2">
      <c r="A12" s="168" t="s">
        <v>89</v>
      </c>
      <c r="B12" s="169" t="s">
        <v>160</v>
      </c>
      <c r="C12" s="168" t="s">
        <v>161</v>
      </c>
      <c r="D12" s="170" t="s">
        <v>162</v>
      </c>
      <c r="E12" s="168" t="s">
        <v>163</v>
      </c>
      <c r="F12" s="318" t="s">
        <v>164</v>
      </c>
      <c r="G12" s="319"/>
    </row>
    <row r="13" spans="1:7" ht="46.5" customHeight="1" x14ac:dyDescent="0.2">
      <c r="A13" s="8" t="s">
        <v>148</v>
      </c>
      <c r="B13" s="257">
        <v>2200</v>
      </c>
      <c r="C13" s="212">
        <v>15.17</v>
      </c>
      <c r="D13" s="257">
        <v>1100</v>
      </c>
      <c r="E13" s="212">
        <v>3.51</v>
      </c>
      <c r="F13" s="313" t="s">
        <v>165</v>
      </c>
      <c r="G13" s="314"/>
    </row>
    <row r="14" spans="1:7" ht="48" customHeight="1" x14ac:dyDescent="0.2">
      <c r="A14" s="8" t="s">
        <v>149</v>
      </c>
      <c r="B14" s="258">
        <v>40000</v>
      </c>
      <c r="C14" s="212">
        <v>22.14</v>
      </c>
      <c r="D14" s="257">
        <v>1100</v>
      </c>
      <c r="E14" s="212">
        <v>3.51</v>
      </c>
      <c r="F14" s="313" t="s">
        <v>166</v>
      </c>
      <c r="G14" s="314"/>
    </row>
    <row r="15" spans="1:7" ht="42" customHeight="1" x14ac:dyDescent="0.2">
      <c r="A15" s="8" t="s">
        <v>167</v>
      </c>
      <c r="B15" s="258">
        <v>40000</v>
      </c>
      <c r="C15" s="212">
        <v>26.04</v>
      </c>
      <c r="D15" s="257">
        <v>2000</v>
      </c>
      <c r="E15" s="212">
        <v>4.66</v>
      </c>
      <c r="F15" s="313" t="s">
        <v>168</v>
      </c>
      <c r="G15" s="314"/>
    </row>
    <row r="17" spans="1:7" x14ac:dyDescent="0.2">
      <c r="A17" s="220" t="s">
        <v>169</v>
      </c>
      <c r="E17" s="259">
        <v>6.7119999999999997</v>
      </c>
      <c r="F17" s="232"/>
    </row>
    <row r="18" spans="1:7" x14ac:dyDescent="0.2">
      <c r="A18" s="3" t="s">
        <v>170</v>
      </c>
    </row>
    <row r="19" spans="1:7" x14ac:dyDescent="0.2">
      <c r="A19" s="220" t="s">
        <v>171</v>
      </c>
      <c r="E19" s="259" t="s">
        <v>172</v>
      </c>
      <c r="G19" s="232"/>
    </row>
    <row r="20" spans="1:7" x14ac:dyDescent="0.2">
      <c r="E20" s="243"/>
      <c r="G20" s="232"/>
    </row>
    <row r="21" spans="1:7" x14ac:dyDescent="0.2">
      <c r="A21" s="254"/>
      <c r="B21" s="254"/>
      <c r="C21" s="254"/>
      <c r="D21" s="254"/>
      <c r="E21" s="255"/>
      <c r="F21" s="254"/>
      <c r="G21" s="254"/>
    </row>
    <row r="23" spans="1:7" x14ac:dyDescent="0.2">
      <c r="A23" s="1" t="s">
        <v>151</v>
      </c>
    </row>
    <row r="25" spans="1:7" x14ac:dyDescent="0.2">
      <c r="A25" s="8" t="s">
        <v>89</v>
      </c>
      <c r="B25" s="8" t="s">
        <v>146</v>
      </c>
      <c r="C25" s="8" t="s">
        <v>147</v>
      </c>
    </row>
    <row r="26" spans="1:7" x14ac:dyDescent="0.2">
      <c r="A26" s="8" t="s">
        <v>148</v>
      </c>
      <c r="B26" s="250">
        <f>D31*$E$35</f>
        <v>129.92270559210527</v>
      </c>
      <c r="C26" s="250">
        <f>F31*$E$35</f>
        <v>32.614400000000003</v>
      </c>
    </row>
    <row r="27" spans="1:7" x14ac:dyDescent="0.2">
      <c r="A27" s="8" t="s">
        <v>149</v>
      </c>
      <c r="B27" s="250">
        <f>D32*$E$35</f>
        <v>153.68369158878502</v>
      </c>
      <c r="C27" s="250">
        <f>F32*$E$35</f>
        <v>32.741799999999998</v>
      </c>
    </row>
    <row r="28" spans="1:7" x14ac:dyDescent="0.2">
      <c r="A28" s="8" t="s">
        <v>150</v>
      </c>
      <c r="B28" s="250">
        <f>D33*$E$35</f>
        <v>177.99943396226413</v>
      </c>
      <c r="C28" s="250">
        <f>F33*$E$35</f>
        <v>33.442500000000003</v>
      </c>
    </row>
    <row r="29" spans="1:7" ht="13.5" thickBot="1" x14ac:dyDescent="0.25">
      <c r="A29" s="9"/>
      <c r="B29" s="244"/>
      <c r="C29" s="244"/>
    </row>
    <row r="30" spans="1:7" ht="38.25" x14ac:dyDescent="0.2">
      <c r="A30" s="168" t="s">
        <v>89</v>
      </c>
      <c r="B30" s="186" t="s">
        <v>173</v>
      </c>
      <c r="C30" s="169" t="s">
        <v>160</v>
      </c>
      <c r="D30" s="168" t="s">
        <v>161</v>
      </c>
      <c r="E30" s="170" t="s">
        <v>162</v>
      </c>
      <c r="F30" s="168" t="s">
        <v>163</v>
      </c>
    </row>
    <row r="31" spans="1:7" ht="51" x14ac:dyDescent="0.2">
      <c r="A31" s="171" t="s">
        <v>174</v>
      </c>
      <c r="B31" s="260" t="s">
        <v>175</v>
      </c>
      <c r="C31" s="257">
        <v>36000</v>
      </c>
      <c r="D31" s="261">
        <f>((111.25/1.33)-(74250/36000))*1.25</f>
        <v>101.98014567669173</v>
      </c>
      <c r="E31" s="257" t="s">
        <v>176</v>
      </c>
      <c r="F31" s="261">
        <v>25.6</v>
      </c>
    </row>
    <row r="32" spans="1:7" ht="89.25" x14ac:dyDescent="0.2">
      <c r="A32" s="171" t="s">
        <v>177</v>
      </c>
      <c r="B32" s="260" t="s">
        <v>178</v>
      </c>
      <c r="C32" s="258">
        <v>40000</v>
      </c>
      <c r="D32" s="261">
        <f>(((126.35+131.8)/2)/1.07)</f>
        <v>120.63084112149531</v>
      </c>
      <c r="E32" s="257" t="s">
        <v>176</v>
      </c>
      <c r="F32" s="261">
        <v>25.7</v>
      </c>
    </row>
    <row r="33" spans="1:7" ht="51.75" thickBot="1" x14ac:dyDescent="0.25">
      <c r="A33" s="171" t="s">
        <v>179</v>
      </c>
      <c r="B33" s="262" t="s">
        <v>180</v>
      </c>
      <c r="C33" s="258">
        <v>95000</v>
      </c>
      <c r="D33" s="261">
        <f>148.1/1.06</f>
        <v>139.71698113207546</v>
      </c>
      <c r="E33" s="257" t="s">
        <v>176</v>
      </c>
      <c r="F33" s="261">
        <v>26.25</v>
      </c>
    </row>
    <row r="34" spans="1:7" ht="13.5" thickBot="1" x14ac:dyDescent="0.25"/>
    <row r="35" spans="1:7" ht="13.5" thickBot="1" x14ac:dyDescent="0.25">
      <c r="A35" s="172" t="s">
        <v>181</v>
      </c>
      <c r="B35" s="263"/>
      <c r="C35" s="172" t="s">
        <v>182</v>
      </c>
      <c r="D35" s="263"/>
      <c r="E35" s="264">
        <f>AVERAGE(E36:E40)</f>
        <v>1.274</v>
      </c>
    </row>
    <row r="36" spans="1:7" x14ac:dyDescent="0.2">
      <c r="C36" s="265" t="s">
        <v>183</v>
      </c>
      <c r="D36" s="266"/>
      <c r="E36" s="212">
        <v>1.32</v>
      </c>
    </row>
    <row r="37" spans="1:7" x14ac:dyDescent="0.2">
      <c r="C37" s="267" t="s">
        <v>184</v>
      </c>
      <c r="D37" s="268"/>
      <c r="E37" s="261">
        <v>1.26</v>
      </c>
    </row>
    <row r="38" spans="1:7" x14ac:dyDescent="0.2">
      <c r="C38" s="267" t="s">
        <v>185</v>
      </c>
      <c r="D38" s="268"/>
      <c r="E38" s="212">
        <v>1.25</v>
      </c>
    </row>
    <row r="39" spans="1:7" x14ac:dyDescent="0.2">
      <c r="C39" s="265" t="s">
        <v>186</v>
      </c>
      <c r="D39" s="266"/>
      <c r="E39" s="212">
        <v>1.28</v>
      </c>
    </row>
    <row r="40" spans="1:7" x14ac:dyDescent="0.2">
      <c r="C40" s="267" t="s">
        <v>187</v>
      </c>
      <c r="D40" s="268"/>
      <c r="E40" s="261">
        <v>1.26</v>
      </c>
    </row>
    <row r="42" spans="1:7" x14ac:dyDescent="0.2">
      <c r="A42" s="254"/>
      <c r="B42" s="254"/>
      <c r="C42" s="254"/>
      <c r="D42" s="254"/>
      <c r="E42" s="254"/>
      <c r="F42" s="254"/>
      <c r="G42" s="254"/>
    </row>
    <row r="44" spans="1:7" x14ac:dyDescent="0.2">
      <c r="A44" s="1" t="s">
        <v>152</v>
      </c>
    </row>
    <row r="46" spans="1:7" x14ac:dyDescent="0.2">
      <c r="A46" s="8" t="s">
        <v>89</v>
      </c>
      <c r="B46" s="8" t="s">
        <v>146</v>
      </c>
      <c r="C46" s="8" t="s">
        <v>147</v>
      </c>
    </row>
    <row r="47" spans="1:7" x14ac:dyDescent="0.2">
      <c r="A47" s="8" t="s">
        <v>148</v>
      </c>
      <c r="B47" s="250">
        <f>D52*$E$56</f>
        <v>144.9525311325188</v>
      </c>
      <c r="C47" s="250">
        <f>F52*$E$56</f>
        <v>35.631999999999998</v>
      </c>
    </row>
    <row r="48" spans="1:7" x14ac:dyDescent="0.2">
      <c r="A48" s="8" t="s">
        <v>149</v>
      </c>
      <c r="B48" s="250">
        <f>D53*$E$56</f>
        <v>170.3</v>
      </c>
      <c r="C48" s="250">
        <f>F53*$E$56</f>
        <v>35.763000000000005</v>
      </c>
    </row>
    <row r="49" spans="1:7" x14ac:dyDescent="0.2">
      <c r="A49" s="8" t="s">
        <v>150</v>
      </c>
      <c r="B49" s="250">
        <f>D54*$E$56</f>
        <v>200.14575471698112</v>
      </c>
      <c r="C49" s="250">
        <f>F54*$E$56</f>
        <v>36.548999999999999</v>
      </c>
    </row>
    <row r="50" spans="1:7" ht="13.5" thickBot="1" x14ac:dyDescent="0.25">
      <c r="A50" s="9"/>
      <c r="B50" s="244"/>
      <c r="C50" s="244"/>
    </row>
    <row r="51" spans="1:7" ht="38.25" x14ac:dyDescent="0.2">
      <c r="A51" s="168" t="s">
        <v>89</v>
      </c>
      <c r="B51" s="186" t="s">
        <v>173</v>
      </c>
      <c r="C51" s="169" t="s">
        <v>160</v>
      </c>
      <c r="D51" s="168" t="s">
        <v>161</v>
      </c>
      <c r="E51" s="170" t="s">
        <v>162</v>
      </c>
      <c r="F51" s="168" t="s">
        <v>163</v>
      </c>
    </row>
    <row r="52" spans="1:7" ht="51" x14ac:dyDescent="0.2">
      <c r="A52" s="171" t="s">
        <v>174</v>
      </c>
      <c r="B52" s="260" t="s">
        <v>175</v>
      </c>
      <c r="C52" s="257">
        <v>36000</v>
      </c>
      <c r="D52" s="261">
        <f>((120.7/1.33)-(80325/36000))*1.25</f>
        <v>110.65078712406014</v>
      </c>
      <c r="E52" s="257" t="s">
        <v>176</v>
      </c>
      <c r="F52" s="261">
        <v>27.2</v>
      </c>
    </row>
    <row r="53" spans="1:7" ht="89.25" x14ac:dyDescent="0.2">
      <c r="A53" s="171" t="s">
        <v>177</v>
      </c>
      <c r="B53" s="260" t="s">
        <v>178</v>
      </c>
      <c r="C53" s="258">
        <v>40000</v>
      </c>
      <c r="D53" s="261">
        <f>(((136.25+141.95)/2)/1.07)</f>
        <v>130</v>
      </c>
      <c r="E53" s="257" t="s">
        <v>176</v>
      </c>
      <c r="F53" s="261">
        <v>27.3</v>
      </c>
    </row>
    <row r="54" spans="1:7" ht="51.75" thickBot="1" x14ac:dyDescent="0.25">
      <c r="A54" s="171" t="s">
        <v>179</v>
      </c>
      <c r="B54" s="262" t="s">
        <v>180</v>
      </c>
      <c r="C54" s="258">
        <v>95000</v>
      </c>
      <c r="D54" s="261">
        <f>161.95/1.06</f>
        <v>152.78301886792451</v>
      </c>
      <c r="E54" s="257" t="s">
        <v>176</v>
      </c>
      <c r="F54" s="261">
        <v>27.9</v>
      </c>
    </row>
    <row r="55" spans="1:7" ht="13.5" thickBot="1" x14ac:dyDescent="0.25"/>
    <row r="56" spans="1:7" ht="13.5" thickBot="1" x14ac:dyDescent="0.25">
      <c r="A56" s="172" t="s">
        <v>181</v>
      </c>
      <c r="B56" s="263"/>
      <c r="C56" s="172" t="s">
        <v>182</v>
      </c>
      <c r="D56" s="263"/>
      <c r="E56" s="264">
        <f>AVERAGE(E57:E61)</f>
        <v>1.31</v>
      </c>
    </row>
    <row r="57" spans="1:7" x14ac:dyDescent="0.2">
      <c r="C57" s="265" t="s">
        <v>183</v>
      </c>
      <c r="D57" s="266"/>
      <c r="E57" s="212">
        <v>1.36</v>
      </c>
    </row>
    <row r="58" spans="1:7" x14ac:dyDescent="0.2">
      <c r="C58" s="267" t="s">
        <v>184</v>
      </c>
      <c r="D58" s="268"/>
      <c r="E58" s="261">
        <v>1.28</v>
      </c>
    </row>
    <row r="59" spans="1:7" x14ac:dyDescent="0.2">
      <c r="C59" s="267" t="s">
        <v>185</v>
      </c>
      <c r="D59" s="268"/>
      <c r="E59" s="212">
        <v>1.3</v>
      </c>
    </row>
    <row r="60" spans="1:7" x14ac:dyDescent="0.2">
      <c r="C60" s="265" t="s">
        <v>186</v>
      </c>
      <c r="D60" s="266"/>
      <c r="E60" s="212">
        <v>1.33</v>
      </c>
    </row>
    <row r="61" spans="1:7" x14ac:dyDescent="0.2">
      <c r="C61" s="267" t="s">
        <v>187</v>
      </c>
      <c r="D61" s="268"/>
      <c r="E61" s="261">
        <v>1.28</v>
      </c>
    </row>
    <row r="63" spans="1:7" x14ac:dyDescent="0.2">
      <c r="A63" s="254"/>
      <c r="B63" s="254"/>
      <c r="C63" s="254"/>
      <c r="D63" s="254"/>
      <c r="E63" s="254"/>
      <c r="F63" s="254"/>
      <c r="G63" s="254"/>
    </row>
    <row r="65" spans="1:6" x14ac:dyDescent="0.2">
      <c r="A65" s="1" t="s">
        <v>153</v>
      </c>
    </row>
    <row r="67" spans="1:6" x14ac:dyDescent="0.2">
      <c r="A67" s="8" t="s">
        <v>89</v>
      </c>
      <c r="B67" s="8" t="s">
        <v>146</v>
      </c>
      <c r="C67" s="8" t="s">
        <v>147</v>
      </c>
    </row>
    <row r="68" spans="1:6" x14ac:dyDescent="0.2">
      <c r="A68" s="8" t="s">
        <v>148</v>
      </c>
      <c r="B68" s="250">
        <f>D73*$E$77</f>
        <v>153.10500798872181</v>
      </c>
      <c r="C68" s="250">
        <f>F73*$E$77</f>
        <v>37.229700000000001</v>
      </c>
    </row>
    <row r="69" spans="1:6" x14ac:dyDescent="0.2">
      <c r="A69" s="8" t="s">
        <v>149</v>
      </c>
      <c r="B69" s="250">
        <f>D74*$E$77</f>
        <v>180.37051401869158</v>
      </c>
      <c r="C69" s="250">
        <f>F74*$E$77</f>
        <v>37.294000000000004</v>
      </c>
    </row>
    <row r="70" spans="1:6" x14ac:dyDescent="0.2">
      <c r="A70" s="8" t="s">
        <v>150</v>
      </c>
      <c r="B70" s="250">
        <f>D75*$E$77</f>
        <v>212.85726415094337</v>
      </c>
      <c r="C70" s="250">
        <f>F75*$E$77</f>
        <v>38.194200000000002</v>
      </c>
    </row>
    <row r="71" spans="1:6" ht="13.5" thickBot="1" x14ac:dyDescent="0.25">
      <c r="A71" s="9"/>
      <c r="B71" s="244"/>
      <c r="C71" s="244"/>
    </row>
    <row r="72" spans="1:6" ht="38.25" x14ac:dyDescent="0.2">
      <c r="A72" s="168" t="s">
        <v>89</v>
      </c>
      <c r="B72" s="186" t="s">
        <v>173</v>
      </c>
      <c r="C72" s="169" t="s">
        <v>160</v>
      </c>
      <c r="D72" s="168" t="s">
        <v>161</v>
      </c>
      <c r="E72" s="170" t="s">
        <v>162</v>
      </c>
      <c r="F72" s="168" t="s">
        <v>163</v>
      </c>
    </row>
    <row r="73" spans="1:6" ht="51" x14ac:dyDescent="0.2">
      <c r="A73" s="171" t="s">
        <v>174</v>
      </c>
      <c r="B73" s="260" t="s">
        <v>175</v>
      </c>
      <c r="C73" s="257">
        <v>36000</v>
      </c>
      <c r="D73" s="261">
        <f>((129.9/1.33)-(87300/36000))*1.25</f>
        <v>119.05521616541353</v>
      </c>
      <c r="E73" s="257" t="s">
        <v>176</v>
      </c>
      <c r="F73" s="261">
        <v>28.95</v>
      </c>
    </row>
    <row r="74" spans="1:6" ht="89.25" x14ac:dyDescent="0.2">
      <c r="A74" s="171" t="s">
        <v>177</v>
      </c>
      <c r="B74" s="260" t="s">
        <v>178</v>
      </c>
      <c r="C74" s="258">
        <v>40000</v>
      </c>
      <c r="D74" s="261">
        <f>(((147+153.15)/2)/1.07)</f>
        <v>140.25700934579439</v>
      </c>
      <c r="E74" s="257" t="s">
        <v>176</v>
      </c>
      <c r="F74" s="261">
        <v>29</v>
      </c>
    </row>
    <row r="75" spans="1:6" ht="51.75" thickBot="1" x14ac:dyDescent="0.25">
      <c r="A75" s="171" t="s">
        <v>179</v>
      </c>
      <c r="B75" s="262" t="s">
        <v>188</v>
      </c>
      <c r="C75" s="258">
        <v>95000</v>
      </c>
      <c r="D75" s="261">
        <f>175.45/1.06</f>
        <v>165.51886792452828</v>
      </c>
      <c r="E75" s="257" t="s">
        <v>176</v>
      </c>
      <c r="F75" s="261">
        <v>29.7</v>
      </c>
    </row>
    <row r="76" spans="1:6" ht="13.5" thickBot="1" x14ac:dyDescent="0.25"/>
    <row r="77" spans="1:6" ht="13.5" thickBot="1" x14ac:dyDescent="0.25">
      <c r="A77" s="172" t="s">
        <v>181</v>
      </c>
      <c r="B77" s="263"/>
      <c r="C77" s="172" t="s">
        <v>182</v>
      </c>
      <c r="D77" s="263"/>
      <c r="E77" s="269">
        <f>AVERAGE(E78:E82)</f>
        <v>1.286</v>
      </c>
    </row>
    <row r="78" spans="1:6" x14ac:dyDescent="0.2">
      <c r="C78" s="265" t="s">
        <v>183</v>
      </c>
      <c r="D78" s="266"/>
      <c r="E78" s="212">
        <v>1.34</v>
      </c>
    </row>
    <row r="79" spans="1:6" x14ac:dyDescent="0.2">
      <c r="C79" s="267" t="s">
        <v>184</v>
      </c>
      <c r="D79" s="268"/>
      <c r="E79" s="261">
        <v>1.25</v>
      </c>
    </row>
    <row r="80" spans="1:6" x14ac:dyDescent="0.2">
      <c r="C80" s="267" t="s">
        <v>185</v>
      </c>
      <c r="D80" s="268"/>
      <c r="E80" s="212">
        <v>1.27</v>
      </c>
    </row>
    <row r="81" spans="1:7" x14ac:dyDescent="0.2">
      <c r="C81" s="265" t="s">
        <v>186</v>
      </c>
      <c r="D81" s="266"/>
      <c r="E81" s="212">
        <v>1.31</v>
      </c>
    </row>
    <row r="82" spans="1:7" x14ac:dyDescent="0.2">
      <c r="C82" s="267" t="s">
        <v>187</v>
      </c>
      <c r="D82" s="268"/>
      <c r="E82" s="261">
        <v>1.26</v>
      </c>
    </row>
    <row r="84" spans="1:7" x14ac:dyDescent="0.2">
      <c r="A84" s="254"/>
      <c r="B84" s="254"/>
      <c r="C84" s="254"/>
      <c r="D84" s="254"/>
      <c r="E84" s="254"/>
      <c r="F84" s="254"/>
      <c r="G84" s="254"/>
    </row>
    <row r="86" spans="1:7" x14ac:dyDescent="0.2">
      <c r="A86" s="1" t="s">
        <v>154</v>
      </c>
    </row>
    <row r="88" spans="1:7" x14ac:dyDescent="0.2">
      <c r="A88" s="8" t="s">
        <v>89</v>
      </c>
      <c r="B88" s="8" t="s">
        <v>146</v>
      </c>
      <c r="C88" s="8" t="s">
        <v>147</v>
      </c>
    </row>
    <row r="89" spans="1:7" x14ac:dyDescent="0.2">
      <c r="A89" s="8" t="s">
        <v>148</v>
      </c>
      <c r="B89" s="250">
        <f>D94*$E$98</f>
        <v>159.78148496240604</v>
      </c>
      <c r="C89" s="250">
        <f>F94*$E$98</f>
        <v>39.455000000000013</v>
      </c>
    </row>
    <row r="90" spans="1:7" x14ac:dyDescent="0.2">
      <c r="A90" s="8" t="s">
        <v>149</v>
      </c>
      <c r="B90" s="250">
        <f>D95*$E$98</f>
        <v>187.95327102803742</v>
      </c>
      <c r="C90" s="250">
        <f>F95*$E$98</f>
        <v>39.520000000000003</v>
      </c>
    </row>
    <row r="91" spans="1:7" x14ac:dyDescent="0.2">
      <c r="A91" s="8" t="s">
        <v>150</v>
      </c>
      <c r="B91" s="250">
        <f>D96*$E$98</f>
        <v>240.25471698113211</v>
      </c>
      <c r="C91" s="250">
        <f>F96*$E$98</f>
        <v>40.495000000000005</v>
      </c>
    </row>
    <row r="92" spans="1:7" ht="13.5" thickBot="1" x14ac:dyDescent="0.25">
      <c r="A92" s="9"/>
      <c r="B92" s="244"/>
      <c r="C92" s="244"/>
    </row>
    <row r="93" spans="1:7" ht="38.25" x14ac:dyDescent="0.2">
      <c r="A93" s="168" t="s">
        <v>89</v>
      </c>
      <c r="B93" s="186" t="s">
        <v>173</v>
      </c>
      <c r="C93" s="169" t="s">
        <v>160</v>
      </c>
      <c r="D93" s="168" t="s">
        <v>161</v>
      </c>
      <c r="E93" s="170" t="s">
        <v>162</v>
      </c>
      <c r="F93" s="168" t="s">
        <v>163</v>
      </c>
    </row>
    <row r="94" spans="1:7" ht="51" x14ac:dyDescent="0.2">
      <c r="A94" s="171" t="s">
        <v>174</v>
      </c>
      <c r="B94" s="260" t="s">
        <v>175</v>
      </c>
      <c r="C94" s="257">
        <v>36000</v>
      </c>
      <c r="D94" s="261">
        <f>((134.1/1.33)-(90000/36000))*1.25</f>
        <v>122.90883458646616</v>
      </c>
      <c r="E94" s="257" t="s">
        <v>176</v>
      </c>
      <c r="F94" s="261">
        <v>30.35</v>
      </c>
    </row>
    <row r="95" spans="1:7" ht="89.25" x14ac:dyDescent="0.2">
      <c r="A95" s="171" t="s">
        <v>177</v>
      </c>
      <c r="B95" s="260" t="s">
        <v>178</v>
      </c>
      <c r="C95" s="258">
        <v>40000</v>
      </c>
      <c r="D95" s="261">
        <f>((151.95+157.45)/2)/1.07</f>
        <v>144.57943925233644</v>
      </c>
      <c r="E95" s="257" t="s">
        <v>176</v>
      </c>
      <c r="F95" s="261">
        <v>30.4</v>
      </c>
    </row>
    <row r="96" spans="1:7" ht="51.75" thickBot="1" x14ac:dyDescent="0.25">
      <c r="A96" s="171" t="s">
        <v>179</v>
      </c>
      <c r="B96" s="262" t="s">
        <v>188</v>
      </c>
      <c r="C96" s="258">
        <v>95000</v>
      </c>
      <c r="D96" s="261">
        <f>195.9/1.06</f>
        <v>184.81132075471697</v>
      </c>
      <c r="E96" s="257" t="s">
        <v>176</v>
      </c>
      <c r="F96" s="261">
        <v>31.15</v>
      </c>
    </row>
    <row r="97" spans="1:7" ht="13.5" thickBot="1" x14ac:dyDescent="0.25"/>
    <row r="98" spans="1:7" ht="13.5" thickBot="1" x14ac:dyDescent="0.25">
      <c r="A98" s="172" t="s">
        <v>181</v>
      </c>
      <c r="B98" s="263"/>
      <c r="C98" s="172" t="s">
        <v>182</v>
      </c>
      <c r="D98" s="263"/>
      <c r="E98" s="264">
        <f>AVERAGE(E99:E103)</f>
        <v>1.3000000000000003</v>
      </c>
    </row>
    <row r="99" spans="1:7" x14ac:dyDescent="0.2">
      <c r="C99" s="265" t="s">
        <v>183</v>
      </c>
      <c r="D99" s="266"/>
      <c r="E99" s="212">
        <v>1.34</v>
      </c>
    </row>
    <row r="100" spans="1:7" x14ac:dyDescent="0.2">
      <c r="C100" s="267" t="s">
        <v>184</v>
      </c>
      <c r="D100" s="268"/>
      <c r="E100" s="261">
        <v>1.27</v>
      </c>
    </row>
    <row r="101" spans="1:7" x14ac:dyDescent="0.2">
      <c r="C101" s="267" t="s">
        <v>185</v>
      </c>
      <c r="D101" s="268"/>
      <c r="E101" s="212">
        <v>1.29</v>
      </c>
    </row>
    <row r="102" spans="1:7" x14ac:dyDescent="0.2">
      <c r="C102" s="265" t="s">
        <v>186</v>
      </c>
      <c r="D102" s="266"/>
      <c r="E102" s="212">
        <v>1.32</v>
      </c>
    </row>
    <row r="103" spans="1:7" x14ac:dyDescent="0.2">
      <c r="C103" s="267" t="s">
        <v>187</v>
      </c>
      <c r="D103" s="268"/>
      <c r="E103" s="261">
        <v>1.28</v>
      </c>
    </row>
    <row r="105" spans="1:7" x14ac:dyDescent="0.2">
      <c r="A105" s="254"/>
      <c r="B105" s="254"/>
      <c r="C105" s="254"/>
      <c r="D105" s="254"/>
      <c r="E105" s="254"/>
      <c r="F105" s="254"/>
      <c r="G105" s="254"/>
    </row>
    <row r="107" spans="1:7" x14ac:dyDescent="0.2">
      <c r="A107" s="1" t="s">
        <v>155</v>
      </c>
    </row>
    <row r="109" spans="1:7" x14ac:dyDescent="0.2">
      <c r="A109" s="8" t="s">
        <v>89</v>
      </c>
      <c r="B109" s="8" t="s">
        <v>146</v>
      </c>
      <c r="C109" s="8" t="s">
        <v>147</v>
      </c>
    </row>
    <row r="110" spans="1:7" x14ac:dyDescent="0.2">
      <c r="A110" s="8" t="s">
        <v>148</v>
      </c>
      <c r="B110" s="250">
        <f>D115*$E$119</f>
        <v>181.41036536654133</v>
      </c>
      <c r="C110" s="250">
        <f>F115*$E$119</f>
        <v>44.022000000000006</v>
      </c>
    </row>
    <row r="111" spans="1:7" x14ac:dyDescent="0.2">
      <c r="A111" s="8" t="s">
        <v>149</v>
      </c>
      <c r="B111" s="250">
        <f>D116*$E$119</f>
        <v>213.06598130841121</v>
      </c>
      <c r="C111" s="250">
        <f>F116*$E$119</f>
        <v>44.088699999999996</v>
      </c>
    </row>
    <row r="112" spans="1:7" x14ac:dyDescent="0.2">
      <c r="A112" s="8" t="s">
        <v>150</v>
      </c>
      <c r="B112" s="250">
        <f>D117*$E$119</f>
        <v>278.06349056603773</v>
      </c>
      <c r="C112" s="250">
        <f>F117*$E$119</f>
        <v>45.155900000000003</v>
      </c>
    </row>
    <row r="113" spans="1:7" ht="13.5" thickBot="1" x14ac:dyDescent="0.25">
      <c r="A113" s="9"/>
      <c r="B113" s="244"/>
      <c r="C113" s="244"/>
    </row>
    <row r="114" spans="1:7" ht="38.25" x14ac:dyDescent="0.2">
      <c r="A114" s="168" t="s">
        <v>89</v>
      </c>
      <c r="B114" s="186" t="s">
        <v>173</v>
      </c>
      <c r="C114" s="169" t="s">
        <v>160</v>
      </c>
      <c r="D114" s="168" t="s">
        <v>161</v>
      </c>
      <c r="E114" s="170" t="s">
        <v>162</v>
      </c>
      <c r="F114" s="168" t="s">
        <v>163</v>
      </c>
    </row>
    <row r="115" spans="1:7" ht="51" x14ac:dyDescent="0.2">
      <c r="A115" s="171" t="s">
        <v>174</v>
      </c>
      <c r="B115" s="260" t="s">
        <v>175</v>
      </c>
      <c r="C115" s="257">
        <v>36000</v>
      </c>
      <c r="D115" s="261">
        <f>(((148.6/1.33)-(105750/36000))*1.25)</f>
        <v>135.98977913533832</v>
      </c>
      <c r="E115" s="257" t="s">
        <v>176</v>
      </c>
      <c r="F115" s="261">
        <v>33</v>
      </c>
    </row>
    <row r="116" spans="1:7" ht="89.25" x14ac:dyDescent="0.2">
      <c r="A116" s="171" t="s">
        <v>177</v>
      </c>
      <c r="B116" s="260" t="s">
        <v>178</v>
      </c>
      <c r="C116" s="258">
        <v>40000</v>
      </c>
      <c r="D116" s="261">
        <f>((170.25+171.55)/2)/1.07</f>
        <v>159.71962616822429</v>
      </c>
      <c r="E116" s="257" t="s">
        <v>176</v>
      </c>
      <c r="F116" s="261">
        <v>33.049999999999997</v>
      </c>
    </row>
    <row r="117" spans="1:7" ht="51.75" thickBot="1" x14ac:dyDescent="0.25">
      <c r="A117" s="171" t="s">
        <v>179</v>
      </c>
      <c r="B117" s="262" t="s">
        <v>188</v>
      </c>
      <c r="C117" s="258">
        <v>95000</v>
      </c>
      <c r="D117" s="261">
        <f>220.95/1.06</f>
        <v>208.44339622641508</v>
      </c>
      <c r="E117" s="257" t="s">
        <v>176</v>
      </c>
      <c r="F117" s="261">
        <v>33.85</v>
      </c>
    </row>
    <row r="118" spans="1:7" ht="13.5" thickBot="1" x14ac:dyDescent="0.25"/>
    <row r="119" spans="1:7" ht="13.5" thickBot="1" x14ac:dyDescent="0.25">
      <c r="A119" s="172" t="s">
        <v>181</v>
      </c>
      <c r="B119" s="263"/>
      <c r="C119" s="172" t="s">
        <v>182</v>
      </c>
      <c r="D119" s="263"/>
      <c r="E119" s="269">
        <f>AVERAGE(E120:E124)</f>
        <v>1.3340000000000001</v>
      </c>
    </row>
    <row r="120" spans="1:7" x14ac:dyDescent="0.2">
      <c r="C120" s="265" t="s">
        <v>183</v>
      </c>
      <c r="D120" s="266"/>
      <c r="E120" s="212">
        <v>1.37</v>
      </c>
    </row>
    <row r="121" spans="1:7" x14ac:dyDescent="0.2">
      <c r="C121" s="267" t="s">
        <v>184</v>
      </c>
      <c r="D121" s="268"/>
      <c r="E121" s="261">
        <v>1.31</v>
      </c>
    </row>
    <row r="122" spans="1:7" x14ac:dyDescent="0.2">
      <c r="C122" s="267" t="s">
        <v>185</v>
      </c>
      <c r="D122" s="268"/>
      <c r="E122" s="212">
        <v>1.33</v>
      </c>
    </row>
    <row r="123" spans="1:7" x14ac:dyDescent="0.2">
      <c r="C123" s="265" t="s">
        <v>186</v>
      </c>
      <c r="D123" s="266"/>
      <c r="E123" s="212">
        <v>1.35</v>
      </c>
    </row>
    <row r="124" spans="1:7" x14ac:dyDescent="0.2">
      <c r="C124" s="267" t="s">
        <v>187</v>
      </c>
      <c r="D124" s="268"/>
      <c r="E124" s="261">
        <v>1.31</v>
      </c>
    </row>
    <row r="126" spans="1:7" x14ac:dyDescent="0.2">
      <c r="A126" s="254"/>
      <c r="B126" s="254"/>
      <c r="C126" s="254"/>
      <c r="D126" s="254"/>
      <c r="E126" s="254"/>
      <c r="F126" s="254"/>
      <c r="G126" s="254"/>
    </row>
    <row r="128" spans="1:7" x14ac:dyDescent="0.2">
      <c r="A128" s="1" t="s">
        <v>156</v>
      </c>
    </row>
    <row r="130" spans="1:6" x14ac:dyDescent="0.2">
      <c r="A130" s="8" t="s">
        <v>89</v>
      </c>
      <c r="B130" s="8" t="s">
        <v>146</v>
      </c>
      <c r="C130" s="8" t="s">
        <v>147</v>
      </c>
    </row>
    <row r="131" spans="1:6" x14ac:dyDescent="0.2">
      <c r="A131" s="8" t="s">
        <v>148</v>
      </c>
      <c r="B131" s="270">
        <f>D136*$E$140</f>
        <v>175.40963839285715</v>
      </c>
      <c r="C131" s="250">
        <f>F136*$E$140</f>
        <v>44.619900000000001</v>
      </c>
    </row>
    <row r="132" spans="1:6" x14ac:dyDescent="0.2">
      <c r="A132" s="8" t="s">
        <v>149</v>
      </c>
      <c r="B132" s="270">
        <f>D137*$E$140</f>
        <v>209.54200934579436</v>
      </c>
      <c r="C132" s="250">
        <f>F137*$E$140</f>
        <v>44.687200000000004</v>
      </c>
    </row>
    <row r="133" spans="1:6" x14ac:dyDescent="0.2">
      <c r="A133" s="8" t="s">
        <v>150</v>
      </c>
      <c r="B133" s="270">
        <f>D138*$E$140</f>
        <v>280.12037735849054</v>
      </c>
      <c r="C133" s="250">
        <f>F138*$E$140</f>
        <v>45.764000000000003</v>
      </c>
    </row>
    <row r="134" spans="1:6" ht="13.5" thickBot="1" x14ac:dyDescent="0.25">
      <c r="A134" s="9"/>
      <c r="B134" s="244"/>
      <c r="C134" s="244"/>
    </row>
    <row r="135" spans="1:6" ht="38.25" x14ac:dyDescent="0.2">
      <c r="A135" s="168" t="s">
        <v>89</v>
      </c>
      <c r="B135" s="186" t="s">
        <v>173</v>
      </c>
      <c r="C135" s="169" t="s">
        <v>160</v>
      </c>
      <c r="D135" s="168" t="s">
        <v>161</v>
      </c>
      <c r="E135" s="170" t="s">
        <v>162</v>
      </c>
      <c r="F135" s="168" t="s">
        <v>163</v>
      </c>
    </row>
    <row r="136" spans="1:6" ht="51" x14ac:dyDescent="0.2">
      <c r="A136" s="171" t="s">
        <v>174</v>
      </c>
      <c r="B136" s="260" t="s">
        <v>175</v>
      </c>
      <c r="C136" s="257">
        <v>36000</v>
      </c>
      <c r="D136" s="271">
        <f>(((142.5/1.33)-(103950/36000))*1.25)</f>
        <v>130.31919642857142</v>
      </c>
      <c r="E136" s="257" t="s">
        <v>176</v>
      </c>
      <c r="F136" s="261">
        <v>33.15</v>
      </c>
    </row>
    <row r="137" spans="1:6" ht="89.25" x14ac:dyDescent="0.2">
      <c r="A137" s="171" t="s">
        <v>177</v>
      </c>
      <c r="B137" s="260" t="s">
        <v>178</v>
      </c>
      <c r="C137" s="258">
        <v>40000</v>
      </c>
      <c r="D137" s="271">
        <f>((161.95+171.2)/2)/1.07</f>
        <v>155.67757009345792</v>
      </c>
      <c r="E137" s="257" t="s">
        <v>176</v>
      </c>
      <c r="F137" s="261">
        <v>33.200000000000003</v>
      </c>
    </row>
    <row r="138" spans="1:6" ht="51.75" thickBot="1" x14ac:dyDescent="0.25">
      <c r="A138" s="171" t="s">
        <v>179</v>
      </c>
      <c r="B138" s="262" t="s">
        <v>188</v>
      </c>
      <c r="C138" s="258">
        <v>95000</v>
      </c>
      <c r="D138" s="271">
        <f>220.6/1.06</f>
        <v>208.11320754716979</v>
      </c>
      <c r="E138" s="257" t="s">
        <v>176</v>
      </c>
      <c r="F138" s="261">
        <v>34</v>
      </c>
    </row>
    <row r="139" spans="1:6" ht="13.5" thickBot="1" x14ac:dyDescent="0.25"/>
    <row r="140" spans="1:6" ht="13.5" thickBot="1" x14ac:dyDescent="0.25">
      <c r="A140" s="172" t="s">
        <v>181</v>
      </c>
      <c r="B140" s="263"/>
      <c r="C140" s="172" t="s">
        <v>182</v>
      </c>
      <c r="D140" s="263"/>
      <c r="E140" s="264">
        <f>AVERAGE(E141:E145)</f>
        <v>1.3460000000000001</v>
      </c>
    </row>
    <row r="141" spans="1:6" x14ac:dyDescent="0.2">
      <c r="C141" s="265" t="s">
        <v>183</v>
      </c>
      <c r="D141" s="266"/>
      <c r="E141" s="212">
        <v>1.39</v>
      </c>
    </row>
    <row r="142" spans="1:6" x14ac:dyDescent="0.2">
      <c r="C142" s="267" t="s">
        <v>184</v>
      </c>
      <c r="D142" s="268"/>
      <c r="E142" s="261">
        <v>1.32</v>
      </c>
    </row>
    <row r="143" spans="1:6" x14ac:dyDescent="0.2">
      <c r="C143" s="267" t="s">
        <v>185</v>
      </c>
      <c r="D143" s="268"/>
      <c r="E143" s="212">
        <v>1.32</v>
      </c>
    </row>
    <row r="144" spans="1:6" x14ac:dyDescent="0.2">
      <c r="C144" s="265" t="s">
        <v>186</v>
      </c>
      <c r="D144" s="266"/>
      <c r="E144" s="212">
        <v>1.36</v>
      </c>
    </row>
    <row r="145" spans="1:7" x14ac:dyDescent="0.2">
      <c r="C145" s="267" t="s">
        <v>187</v>
      </c>
      <c r="D145" s="268"/>
      <c r="E145" s="261">
        <v>1.34</v>
      </c>
    </row>
    <row r="147" spans="1:7" x14ac:dyDescent="0.2">
      <c r="A147" s="254"/>
      <c r="B147" s="254"/>
      <c r="C147" s="254"/>
      <c r="D147" s="254"/>
      <c r="E147" s="254"/>
      <c r="F147" s="254"/>
      <c r="G147" s="254"/>
    </row>
    <row r="149" spans="1:7" x14ac:dyDescent="0.2">
      <c r="A149" s="1" t="s">
        <v>157</v>
      </c>
    </row>
    <row r="151" spans="1:7" x14ac:dyDescent="0.2">
      <c r="A151" s="8" t="s">
        <v>89</v>
      </c>
      <c r="B151" s="8" t="s">
        <v>146</v>
      </c>
      <c r="C151" s="8" t="s">
        <v>147</v>
      </c>
    </row>
    <row r="152" spans="1:7" x14ac:dyDescent="0.2">
      <c r="A152" s="8" t="s">
        <v>148</v>
      </c>
      <c r="B152" s="270">
        <f>D157*$E$161</f>
        <v>189.62648437500002</v>
      </c>
      <c r="C152" s="270">
        <f>F157*$E$161</f>
        <v>44.954000000000001</v>
      </c>
    </row>
    <row r="153" spans="1:7" x14ac:dyDescent="0.2">
      <c r="A153" s="8" t="s">
        <v>149</v>
      </c>
      <c r="B153" s="270">
        <f>D158*$E$161</f>
        <v>216.56004672897197</v>
      </c>
      <c r="C153" s="270">
        <f>F158*$E$161</f>
        <v>45.020500000000006</v>
      </c>
    </row>
    <row r="154" spans="1:7" x14ac:dyDescent="0.2">
      <c r="A154" s="8" t="s">
        <v>150</v>
      </c>
      <c r="B154" s="270">
        <f>D159*$E$161</f>
        <v>285.38537735849053</v>
      </c>
      <c r="C154" s="270">
        <f>F159*$E$161</f>
        <v>46.084499999999998</v>
      </c>
    </row>
    <row r="155" spans="1:7" ht="13.5" thickBot="1" x14ac:dyDescent="0.25">
      <c r="A155" s="9"/>
      <c r="B155" s="244"/>
      <c r="C155" s="244"/>
    </row>
    <row r="156" spans="1:7" ht="38.25" x14ac:dyDescent="0.2">
      <c r="A156" s="168" t="s">
        <v>89</v>
      </c>
      <c r="B156" s="186" t="s">
        <v>173</v>
      </c>
      <c r="C156" s="169" t="s">
        <v>160</v>
      </c>
      <c r="D156" s="168" t="s">
        <v>161</v>
      </c>
      <c r="E156" s="170" t="s">
        <v>162</v>
      </c>
      <c r="F156" s="168" t="s">
        <v>163</v>
      </c>
    </row>
    <row r="157" spans="1:7" ht="51" x14ac:dyDescent="0.2">
      <c r="A157" s="171" t="s">
        <v>174</v>
      </c>
      <c r="B157" s="260" t="s">
        <v>175</v>
      </c>
      <c r="C157" s="257">
        <v>36000</v>
      </c>
      <c r="D157" s="271">
        <f>(((155.5/1.33)-(102825/36000))*1.25)</f>
        <v>142.57630404135338</v>
      </c>
      <c r="E157" s="257" t="s">
        <v>176</v>
      </c>
      <c r="F157" s="271">
        <v>33.799999999999997</v>
      </c>
    </row>
    <row r="158" spans="1:7" ht="89.25" x14ac:dyDescent="0.2">
      <c r="A158" s="171" t="s">
        <v>177</v>
      </c>
      <c r="B158" s="260" t="s">
        <v>178</v>
      </c>
      <c r="C158" s="258">
        <v>40000</v>
      </c>
      <c r="D158" s="271">
        <f>((170.25+178.2)/2)/1.07</f>
        <v>162.82710280373831</v>
      </c>
      <c r="E158" s="257" t="s">
        <v>176</v>
      </c>
      <c r="F158" s="271">
        <v>33.85</v>
      </c>
    </row>
    <row r="159" spans="1:7" ht="51.75" thickBot="1" x14ac:dyDescent="0.25">
      <c r="A159" s="171" t="s">
        <v>179</v>
      </c>
      <c r="B159" s="262" t="s">
        <v>188</v>
      </c>
      <c r="C159" s="258">
        <v>95000</v>
      </c>
      <c r="D159" s="271">
        <f>227.45/1.06</f>
        <v>214.57547169811318</v>
      </c>
      <c r="E159" s="257" t="s">
        <v>176</v>
      </c>
      <c r="F159" s="271">
        <v>34.65</v>
      </c>
    </row>
    <row r="160" spans="1:7" ht="13.5" thickBot="1" x14ac:dyDescent="0.25"/>
    <row r="161" spans="1:7" ht="13.5" thickBot="1" x14ac:dyDescent="0.25">
      <c r="A161" s="172" t="s">
        <v>181</v>
      </c>
      <c r="B161" s="263"/>
      <c r="C161" s="172" t="s">
        <v>182</v>
      </c>
      <c r="D161" s="263"/>
      <c r="E161" s="272">
        <f>AVERAGE(E162:E166)</f>
        <v>1.33</v>
      </c>
    </row>
    <row r="162" spans="1:7" x14ac:dyDescent="0.2">
      <c r="C162" s="265" t="s">
        <v>183</v>
      </c>
      <c r="D162" s="266"/>
      <c r="E162" s="221">
        <v>1.38</v>
      </c>
    </row>
    <row r="163" spans="1:7" x14ac:dyDescent="0.2">
      <c r="C163" s="267" t="s">
        <v>184</v>
      </c>
      <c r="D163" s="268"/>
      <c r="E163" s="271">
        <v>1.3</v>
      </c>
    </row>
    <row r="164" spans="1:7" x14ac:dyDescent="0.2">
      <c r="C164" s="267" t="s">
        <v>185</v>
      </c>
      <c r="D164" s="268"/>
      <c r="E164" s="221">
        <v>1.31</v>
      </c>
    </row>
    <row r="165" spans="1:7" x14ac:dyDescent="0.2">
      <c r="C165" s="265" t="s">
        <v>186</v>
      </c>
      <c r="D165" s="266"/>
      <c r="E165" s="221">
        <v>1.35</v>
      </c>
    </row>
    <row r="166" spans="1:7" x14ac:dyDescent="0.2">
      <c r="C166" s="267" t="s">
        <v>187</v>
      </c>
      <c r="D166" s="268"/>
      <c r="E166" s="271">
        <v>1.31</v>
      </c>
    </row>
    <row r="171" spans="1:7" x14ac:dyDescent="0.2">
      <c r="A171" s="1" t="s">
        <v>158</v>
      </c>
    </row>
    <row r="172" spans="1:7" x14ac:dyDescent="0.2">
      <c r="A172" s="273"/>
      <c r="B172" s="273"/>
      <c r="C172" s="273"/>
      <c r="D172" s="273"/>
      <c r="E172" s="273"/>
      <c r="F172" s="273"/>
      <c r="G172" s="273"/>
    </row>
    <row r="173" spans="1:7" x14ac:dyDescent="0.2">
      <c r="A173" s="274" t="s">
        <v>89</v>
      </c>
      <c r="B173" s="274" t="s">
        <v>146</v>
      </c>
      <c r="C173" s="274" t="s">
        <v>147</v>
      </c>
      <c r="D173" s="273"/>
      <c r="E173" s="273"/>
      <c r="F173" s="273"/>
      <c r="G173" s="273"/>
    </row>
    <row r="174" spans="1:7" x14ac:dyDescent="0.2">
      <c r="A174" s="274" t="s">
        <v>148</v>
      </c>
      <c r="B174" s="275">
        <f>D179*$E$183</f>
        <v>202.4127612781954</v>
      </c>
      <c r="C174" s="275">
        <f>F179*$E$183</f>
        <v>47.363199999999999</v>
      </c>
      <c r="D174" s="273"/>
      <c r="E174" s="273"/>
      <c r="F174" s="273"/>
      <c r="G174" s="273"/>
    </row>
    <row r="175" spans="1:7" x14ac:dyDescent="0.2">
      <c r="A175" s="274" t="s">
        <v>149</v>
      </c>
      <c r="B175" s="275">
        <f>D180*$E$183</f>
        <v>230.70355140186908</v>
      </c>
      <c r="C175" s="275">
        <f>F180*$E$183</f>
        <v>47.428799999999995</v>
      </c>
      <c r="D175" s="273"/>
      <c r="E175" s="273"/>
      <c r="F175" s="273"/>
      <c r="G175" s="273"/>
    </row>
    <row r="176" spans="1:7" x14ac:dyDescent="0.2">
      <c r="A176" s="274" t="s">
        <v>150</v>
      </c>
      <c r="B176" s="275">
        <f>D181*$E$183</f>
        <v>296.4996226415094</v>
      </c>
      <c r="C176" s="275">
        <f>F181*$E$183</f>
        <v>45.460799999999992</v>
      </c>
      <c r="D176" s="273"/>
      <c r="E176" s="273"/>
      <c r="F176" s="273"/>
      <c r="G176" s="273"/>
    </row>
    <row r="177" spans="1:7" ht="13.5" thickBot="1" x14ac:dyDescent="0.25">
      <c r="A177" s="276"/>
      <c r="B177" s="277"/>
      <c r="C177" s="277"/>
      <c r="D177" s="273"/>
      <c r="E177" s="273"/>
      <c r="F177" s="273"/>
      <c r="G177" s="273"/>
    </row>
    <row r="178" spans="1:7" ht="38.25" x14ac:dyDescent="0.2">
      <c r="A178" s="278" t="s">
        <v>89</v>
      </c>
      <c r="B178" s="279" t="s">
        <v>173</v>
      </c>
      <c r="C178" s="280" t="s">
        <v>160</v>
      </c>
      <c r="D178" s="278" t="s">
        <v>161</v>
      </c>
      <c r="E178" s="280" t="s">
        <v>162</v>
      </c>
      <c r="F178" s="278" t="s">
        <v>163</v>
      </c>
      <c r="G178" s="273"/>
    </row>
    <row r="179" spans="1:7" ht="51" x14ac:dyDescent="0.2">
      <c r="A179" s="281" t="s">
        <v>174</v>
      </c>
      <c r="B179" s="282" t="s">
        <v>175</v>
      </c>
      <c r="C179" s="283">
        <v>36000</v>
      </c>
      <c r="D179" s="284">
        <f>(((168.2/1.33)-(109575/36000))*1.25)</f>
        <v>154.27801926691725</v>
      </c>
      <c r="E179" s="283" t="s">
        <v>176</v>
      </c>
      <c r="F179" s="284">
        <v>36.1</v>
      </c>
      <c r="G179" s="273"/>
    </row>
    <row r="180" spans="1:7" ht="89.25" x14ac:dyDescent="0.2">
      <c r="A180" s="281" t="s">
        <v>177</v>
      </c>
      <c r="B180" s="282" t="s">
        <v>178</v>
      </c>
      <c r="C180" s="283">
        <v>40000</v>
      </c>
      <c r="D180" s="284">
        <f>((185.1+191.2)/2)/1.07</f>
        <v>175.84112149532706</v>
      </c>
      <c r="E180" s="283" t="s">
        <v>176</v>
      </c>
      <c r="F180" s="284">
        <v>36.15</v>
      </c>
      <c r="G180" s="273"/>
    </row>
    <row r="181" spans="1:7" ht="51.75" thickBot="1" x14ac:dyDescent="0.25">
      <c r="A181" s="281" t="s">
        <v>179</v>
      </c>
      <c r="B181" s="285" t="s">
        <v>188</v>
      </c>
      <c r="C181" s="283">
        <v>95000</v>
      </c>
      <c r="D181" s="284">
        <f>239.55/1.06</f>
        <v>225.99056603773585</v>
      </c>
      <c r="E181" s="283" t="s">
        <v>176</v>
      </c>
      <c r="F181" s="284">
        <v>34.65</v>
      </c>
      <c r="G181" s="273"/>
    </row>
    <row r="182" spans="1:7" ht="13.5" thickBot="1" x14ac:dyDescent="0.25">
      <c r="A182" s="273"/>
      <c r="B182" s="273"/>
      <c r="C182" s="273"/>
      <c r="D182" s="273"/>
      <c r="E182" s="273"/>
      <c r="F182" s="273"/>
      <c r="G182" s="273"/>
    </row>
    <row r="183" spans="1:7" ht="13.5" thickBot="1" x14ac:dyDescent="0.25">
      <c r="A183" s="286" t="s">
        <v>181</v>
      </c>
      <c r="B183" s="287"/>
      <c r="C183" s="286" t="s">
        <v>182</v>
      </c>
      <c r="D183" s="287"/>
      <c r="E183" s="288">
        <f>AVERAGE(E184:E188)</f>
        <v>1.3119999999999998</v>
      </c>
      <c r="F183" s="273"/>
      <c r="G183" s="273"/>
    </row>
    <row r="184" spans="1:7" x14ac:dyDescent="0.2">
      <c r="A184" s="273"/>
      <c r="B184" s="273"/>
      <c r="C184" s="289" t="s">
        <v>183</v>
      </c>
      <c r="D184" s="290"/>
      <c r="E184" s="291">
        <v>1.34</v>
      </c>
      <c r="F184" s="273"/>
      <c r="G184" s="273"/>
    </row>
    <row r="185" spans="1:7" x14ac:dyDescent="0.2">
      <c r="A185" s="273"/>
      <c r="B185" s="273"/>
      <c r="C185" s="292" t="s">
        <v>184</v>
      </c>
      <c r="D185" s="293"/>
      <c r="E185" s="284">
        <v>1.28</v>
      </c>
      <c r="F185" s="273"/>
      <c r="G185" s="273"/>
    </row>
    <row r="186" spans="1:7" x14ac:dyDescent="0.2">
      <c r="A186" s="273"/>
      <c r="B186" s="273"/>
      <c r="C186" s="292" t="s">
        <v>185</v>
      </c>
      <c r="D186" s="293"/>
      <c r="E186" s="291">
        <v>1.3</v>
      </c>
      <c r="F186" s="273"/>
      <c r="G186" s="273"/>
    </row>
    <row r="187" spans="1:7" x14ac:dyDescent="0.2">
      <c r="A187" s="273"/>
      <c r="B187" s="273"/>
      <c r="C187" s="289" t="s">
        <v>186</v>
      </c>
      <c r="D187" s="290"/>
      <c r="E187" s="291">
        <v>1.34</v>
      </c>
      <c r="F187" s="273"/>
      <c r="G187" s="273"/>
    </row>
    <row r="188" spans="1:7" x14ac:dyDescent="0.2">
      <c r="A188" s="273"/>
      <c r="B188" s="273"/>
      <c r="C188" s="292" t="s">
        <v>187</v>
      </c>
      <c r="D188" s="293"/>
      <c r="E188" s="284">
        <v>1.3</v>
      </c>
      <c r="F188" s="273"/>
      <c r="G188" s="273"/>
    </row>
    <row r="189" spans="1:7" x14ac:dyDescent="0.2">
      <c r="A189" s="273"/>
      <c r="B189" s="273"/>
      <c r="C189" s="273"/>
      <c r="D189" s="273"/>
      <c r="E189" s="273"/>
      <c r="F189" s="273"/>
      <c r="G189" s="273"/>
    </row>
    <row r="190" spans="1:7" x14ac:dyDescent="0.2">
      <c r="A190" s="273"/>
      <c r="B190" s="273"/>
      <c r="C190" s="273"/>
      <c r="D190" s="273"/>
      <c r="E190" s="273"/>
      <c r="F190" s="273"/>
      <c r="G190" s="273"/>
    </row>
    <row r="191" spans="1:7" x14ac:dyDescent="0.2">
      <c r="A191" s="273"/>
      <c r="B191" s="273"/>
      <c r="C191" s="273"/>
      <c r="D191" s="273"/>
      <c r="E191" s="273"/>
      <c r="F191" s="273"/>
      <c r="G191" s="273"/>
    </row>
    <row r="192" spans="1:7" x14ac:dyDescent="0.2">
      <c r="A192" s="273"/>
      <c r="B192" s="273"/>
      <c r="C192" s="273"/>
      <c r="D192" s="273"/>
      <c r="E192" s="273"/>
      <c r="F192" s="273"/>
      <c r="G192" s="273"/>
    </row>
    <row r="193" spans="1:7" x14ac:dyDescent="0.2">
      <c r="A193" s="273"/>
      <c r="B193" s="273"/>
      <c r="C193" s="273"/>
      <c r="D193" s="273"/>
      <c r="E193" s="273"/>
      <c r="F193" s="273"/>
      <c r="G193" s="273"/>
    </row>
    <row r="194" spans="1:7" x14ac:dyDescent="0.2">
      <c r="A194" s="273"/>
      <c r="B194" s="273"/>
      <c r="C194" s="273"/>
      <c r="D194" s="273"/>
      <c r="E194" s="273"/>
      <c r="F194" s="273"/>
      <c r="G194" s="273"/>
    </row>
    <row r="195" spans="1:7" x14ac:dyDescent="0.2">
      <c r="A195" s="294" t="s">
        <v>189</v>
      </c>
      <c r="B195" s="273"/>
      <c r="C195" s="273"/>
      <c r="D195" s="273"/>
      <c r="E195" s="273"/>
      <c r="F195" s="273"/>
      <c r="G195" s="273"/>
    </row>
    <row r="196" spans="1:7" x14ac:dyDescent="0.2">
      <c r="A196" s="273"/>
      <c r="B196" s="273"/>
      <c r="C196" s="273"/>
      <c r="D196" s="273"/>
      <c r="E196" s="273"/>
      <c r="F196" s="273"/>
      <c r="G196" s="273"/>
    </row>
    <row r="197" spans="1:7" x14ac:dyDescent="0.2">
      <c r="A197" s="274" t="s">
        <v>89</v>
      </c>
      <c r="B197" s="274" t="s">
        <v>146</v>
      </c>
      <c r="C197" s="274" t="s">
        <v>147</v>
      </c>
      <c r="D197" s="273"/>
      <c r="E197" s="273"/>
      <c r="F197" s="273"/>
      <c r="G197" s="273"/>
    </row>
    <row r="198" spans="1:7" x14ac:dyDescent="0.2">
      <c r="A198" s="274" t="s">
        <v>148</v>
      </c>
      <c r="B198" s="275">
        <f>D203*$E$207</f>
        <v>216.52674763257573</v>
      </c>
      <c r="C198" s="275">
        <f>F203*$E$207</f>
        <v>51.894099999999995</v>
      </c>
      <c r="D198" s="273"/>
      <c r="E198" s="273"/>
      <c r="F198" s="273"/>
      <c r="G198" s="273"/>
    </row>
    <row r="199" spans="1:7" x14ac:dyDescent="0.2">
      <c r="A199" s="274" t="s">
        <v>149</v>
      </c>
      <c r="B199" s="275">
        <f>D204*$E$207</f>
        <v>234.97228971962616</v>
      </c>
      <c r="C199" s="275">
        <f>F204*$E$207</f>
        <v>51.963200000000001</v>
      </c>
      <c r="D199" s="273"/>
      <c r="E199" s="273"/>
      <c r="F199" s="273"/>
      <c r="G199" s="273"/>
    </row>
    <row r="200" spans="1:7" x14ac:dyDescent="0.2">
      <c r="A200" s="274" t="s">
        <v>150</v>
      </c>
      <c r="B200" s="275">
        <f>D205*$E$207</f>
        <v>292.46900943396224</v>
      </c>
      <c r="C200" s="275">
        <f>F205*$E$207</f>
        <v>53.206999999999994</v>
      </c>
      <c r="D200" s="273"/>
      <c r="E200" s="273"/>
      <c r="F200" s="273"/>
      <c r="G200" s="273"/>
    </row>
    <row r="201" spans="1:7" ht="13.5" thickBot="1" x14ac:dyDescent="0.25">
      <c r="A201" s="276"/>
      <c r="B201" s="277"/>
      <c r="C201" s="277"/>
      <c r="D201" s="273"/>
      <c r="E201" s="273"/>
      <c r="F201" s="273"/>
      <c r="G201" s="273"/>
    </row>
    <row r="202" spans="1:7" ht="38.25" x14ac:dyDescent="0.2">
      <c r="A202" s="278" t="s">
        <v>89</v>
      </c>
      <c r="B202" s="279" t="s">
        <v>173</v>
      </c>
      <c r="C202" s="280" t="s">
        <v>160</v>
      </c>
      <c r="D202" s="278" t="s">
        <v>161</v>
      </c>
      <c r="E202" s="280" t="s">
        <v>162</v>
      </c>
      <c r="F202" s="278" t="s">
        <v>163</v>
      </c>
      <c r="G202" s="273"/>
    </row>
    <row r="203" spans="1:7" ht="63.75" x14ac:dyDescent="0.2">
      <c r="A203" s="281" t="s">
        <v>174</v>
      </c>
      <c r="B203" s="282" t="s">
        <v>190</v>
      </c>
      <c r="C203" s="283">
        <v>36000</v>
      </c>
      <c r="D203" s="284">
        <f>(((169.6/1.32)-(113175/36000))*1.25)</f>
        <v>156.67637310606059</v>
      </c>
      <c r="E203" s="283" t="s">
        <v>176</v>
      </c>
      <c r="F203" s="284">
        <v>37.549999999999997</v>
      </c>
      <c r="G203" s="273"/>
    </row>
    <row r="204" spans="1:7" ht="76.5" x14ac:dyDescent="0.2">
      <c r="A204" s="281" t="s">
        <v>177</v>
      </c>
      <c r="B204" s="282" t="s">
        <v>191</v>
      </c>
      <c r="C204" s="283">
        <v>40000</v>
      </c>
      <c r="D204" s="284">
        <f>((172.6+191.25)/2)/1.07</f>
        <v>170.02336448598132</v>
      </c>
      <c r="E204" s="283" t="s">
        <v>176</v>
      </c>
      <c r="F204" s="284">
        <v>37.6</v>
      </c>
      <c r="G204" s="273"/>
    </row>
    <row r="205" spans="1:7" ht="77.25" thickBot="1" x14ac:dyDescent="0.25">
      <c r="A205" s="281" t="s">
        <v>179</v>
      </c>
      <c r="B205" s="285" t="s">
        <v>192</v>
      </c>
      <c r="C205" s="283">
        <v>95000</v>
      </c>
      <c r="D205" s="284">
        <f>((213.25+235.4)/2)/1.06</f>
        <v>211.62735849056602</v>
      </c>
      <c r="E205" s="283" t="s">
        <v>176</v>
      </c>
      <c r="F205" s="284">
        <v>38.5</v>
      </c>
      <c r="G205" s="273"/>
    </row>
    <row r="206" spans="1:7" ht="13.5" thickBot="1" x14ac:dyDescent="0.25">
      <c r="A206" s="273"/>
      <c r="B206" s="273"/>
      <c r="C206" s="273"/>
      <c r="D206" s="273"/>
      <c r="E206" s="273"/>
      <c r="F206" s="273"/>
      <c r="G206" s="273"/>
    </row>
    <row r="207" spans="1:7" ht="13.5" thickBot="1" x14ac:dyDescent="0.25">
      <c r="A207" s="286" t="s">
        <v>181</v>
      </c>
      <c r="B207" s="287"/>
      <c r="C207" s="286" t="s">
        <v>182</v>
      </c>
      <c r="D207" s="287"/>
      <c r="E207" s="288">
        <f>AVERAGE(E208:E212)</f>
        <v>1.3819999999999999</v>
      </c>
      <c r="F207" s="273"/>
      <c r="G207" s="273"/>
    </row>
    <row r="208" spans="1:7" x14ac:dyDescent="0.2">
      <c r="A208" s="273"/>
      <c r="B208" s="273"/>
      <c r="C208" s="289" t="s">
        <v>183</v>
      </c>
      <c r="D208" s="290"/>
      <c r="E208" s="291">
        <v>1.41</v>
      </c>
      <c r="F208" s="273"/>
      <c r="G208" s="273"/>
    </row>
    <row r="209" spans="1:7" x14ac:dyDescent="0.2">
      <c r="A209" s="273"/>
      <c r="B209" s="273"/>
      <c r="C209" s="292" t="s">
        <v>184</v>
      </c>
      <c r="D209" s="293"/>
      <c r="E209" s="284">
        <v>1.34</v>
      </c>
      <c r="F209" s="273"/>
      <c r="G209" s="273"/>
    </row>
    <row r="210" spans="1:7" x14ac:dyDescent="0.2">
      <c r="A210" s="273"/>
      <c r="B210" s="273"/>
      <c r="C210" s="292" t="s">
        <v>185</v>
      </c>
      <c r="D210" s="293"/>
      <c r="E210" s="291">
        <v>1.38</v>
      </c>
      <c r="F210" s="273"/>
      <c r="G210" s="273"/>
    </row>
    <row r="211" spans="1:7" x14ac:dyDescent="0.2">
      <c r="A211" s="273"/>
      <c r="B211" s="273"/>
      <c r="C211" s="289" t="s">
        <v>186</v>
      </c>
      <c r="D211" s="290"/>
      <c r="E211" s="291">
        <v>1.4</v>
      </c>
      <c r="F211" s="273"/>
      <c r="G211" s="273"/>
    </row>
    <row r="212" spans="1:7" x14ac:dyDescent="0.2">
      <c r="A212" s="273"/>
      <c r="B212" s="273"/>
      <c r="C212" s="292" t="s">
        <v>187</v>
      </c>
      <c r="D212" s="293"/>
      <c r="E212" s="284">
        <v>1.38</v>
      </c>
      <c r="F212" s="273"/>
      <c r="G212" s="273"/>
    </row>
  </sheetData>
  <mergeCells count="5">
    <mergeCell ref="F15:G15"/>
    <mergeCell ref="A11:G11"/>
    <mergeCell ref="F12:G12"/>
    <mergeCell ref="F13:G13"/>
    <mergeCell ref="F14:G14"/>
  </mergeCells>
  <phoneticPr fontId="18" type="noConversion"/>
  <pageMargins left="0.75" right="0.75" top="1" bottom="1" header="0.5" footer="0.5"/>
  <pageSetup scale="89" orientation="portrait" r:id="rId1"/>
  <headerFooter alignWithMargins="0"/>
  <rowBreaks count="3" manualBreakCount="3">
    <brk id="64" max="16383" man="1"/>
    <brk id="156" max="6" man="1"/>
    <brk id="188" max="6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7"/>
  <sheetViews>
    <sheetView view="pageBreakPreview" zoomScaleNormal="100" zoomScaleSheetLayoutView="100" workbookViewId="0">
      <selection activeCell="O6" sqref="O6"/>
    </sheetView>
  </sheetViews>
  <sheetFormatPr defaultRowHeight="12.75" x14ac:dyDescent="0.2"/>
  <cols>
    <col min="1" max="1" width="4.7109375" customWidth="1"/>
    <col min="5" max="5" width="10.28515625" customWidth="1"/>
    <col min="6" max="6" width="12.7109375" customWidth="1"/>
    <col min="7" max="7" width="13.7109375" customWidth="1"/>
    <col min="8" max="8" width="17" customWidth="1"/>
    <col min="9" max="9" width="10.140625" customWidth="1"/>
    <col min="10" max="10" width="10.85546875" customWidth="1"/>
  </cols>
  <sheetData>
    <row r="1" spans="2:10" ht="13.5" thickBot="1" x14ac:dyDescent="0.25"/>
    <row r="2" spans="2:10" ht="13.5" thickBot="1" x14ac:dyDescent="0.25">
      <c r="B2" s="325" t="s">
        <v>193</v>
      </c>
      <c r="C2" s="326"/>
      <c r="D2" s="326"/>
      <c r="E2" s="326"/>
      <c r="F2" s="326"/>
      <c r="G2" s="326"/>
      <c r="H2" s="326"/>
      <c r="I2" s="326"/>
      <c r="J2" s="327"/>
    </row>
    <row r="3" spans="2:10" ht="13.5" thickBot="1" x14ac:dyDescent="0.25">
      <c r="B3" s="181"/>
      <c r="C3" s="328" t="s">
        <v>159</v>
      </c>
      <c r="D3" s="329"/>
      <c r="E3" s="330"/>
      <c r="F3" s="331"/>
      <c r="G3" s="322" t="s">
        <v>194</v>
      </c>
      <c r="H3" s="323"/>
      <c r="I3" s="323"/>
      <c r="J3" s="324"/>
    </row>
    <row r="4" spans="2:10" ht="38.25" x14ac:dyDescent="0.2">
      <c r="B4" s="193" t="s">
        <v>195</v>
      </c>
      <c r="C4" s="183" t="s">
        <v>89</v>
      </c>
      <c r="D4" s="332" t="s">
        <v>164</v>
      </c>
      <c r="E4" s="333"/>
      <c r="F4" s="184" t="s">
        <v>162</v>
      </c>
      <c r="G4" s="185" t="s">
        <v>89</v>
      </c>
      <c r="H4" s="186" t="s">
        <v>173</v>
      </c>
      <c r="I4" s="187" t="s">
        <v>196</v>
      </c>
      <c r="J4" s="184" t="s">
        <v>162</v>
      </c>
    </row>
    <row r="5" spans="2:10" ht="51" x14ac:dyDescent="0.2">
      <c r="B5" s="191" t="s">
        <v>197</v>
      </c>
      <c r="C5" s="176" t="s">
        <v>148</v>
      </c>
      <c r="D5" s="334" t="s">
        <v>165</v>
      </c>
      <c r="E5" s="335"/>
      <c r="F5" s="177">
        <v>1100</v>
      </c>
      <c r="G5" s="175" t="s">
        <v>174</v>
      </c>
      <c r="H5" s="188" t="s">
        <v>175</v>
      </c>
      <c r="I5" s="173">
        <v>36000</v>
      </c>
      <c r="J5" s="177" t="s">
        <v>176</v>
      </c>
    </row>
    <row r="6" spans="2:10" ht="76.5" x14ac:dyDescent="0.2">
      <c r="B6" s="192" t="s">
        <v>198</v>
      </c>
      <c r="C6" s="176" t="s">
        <v>149</v>
      </c>
      <c r="D6" s="334" t="s">
        <v>166</v>
      </c>
      <c r="E6" s="335"/>
      <c r="F6" s="177">
        <v>1100</v>
      </c>
      <c r="G6" s="175" t="s">
        <v>177</v>
      </c>
      <c r="H6" s="188" t="s">
        <v>178</v>
      </c>
      <c r="I6" s="174">
        <v>40000</v>
      </c>
      <c r="J6" s="177" t="s">
        <v>176</v>
      </c>
    </row>
    <row r="7" spans="2:10" ht="51.75" thickBot="1" x14ac:dyDescent="0.25">
      <c r="B7" s="180" t="s">
        <v>199</v>
      </c>
      <c r="C7" s="178" t="s">
        <v>167</v>
      </c>
      <c r="D7" s="320" t="s">
        <v>168</v>
      </c>
      <c r="E7" s="321"/>
      <c r="F7" s="179">
        <v>2000</v>
      </c>
      <c r="G7" s="182" t="s">
        <v>179</v>
      </c>
      <c r="H7" s="189" t="s">
        <v>188</v>
      </c>
      <c r="I7" s="190">
        <v>95000</v>
      </c>
      <c r="J7" s="179" t="s">
        <v>176</v>
      </c>
    </row>
  </sheetData>
  <mergeCells count="7">
    <mergeCell ref="D7:E7"/>
    <mergeCell ref="G3:J3"/>
    <mergeCell ref="B2:J2"/>
    <mergeCell ref="C3:F3"/>
    <mergeCell ref="D4:E4"/>
    <mergeCell ref="D5:E5"/>
    <mergeCell ref="D6:E6"/>
  </mergeCells>
  <phoneticPr fontId="18" type="noConversion"/>
  <pageMargins left="0.75" right="0.75" top="1" bottom="1" header="0.5" footer="0.5"/>
  <pageSetup scale="8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RENT_CALC</vt:lpstr>
      <vt:lpstr>PIOC_FACTORS</vt:lpstr>
      <vt:lpstr>Construction_Cost_Values</vt:lpstr>
      <vt:lpstr>Construction Cost Backing Data</vt:lpstr>
      <vt:lpstr>Dodge vs RS</vt:lpstr>
      <vt:lpstr>'Construction Cost Backing Data'!Print_Area</vt:lpstr>
      <vt:lpstr>Construction_Cost_Values!Print_Area</vt:lpstr>
      <vt:lpstr>PIOC_FACTORS!Print_Area</vt:lpstr>
      <vt:lpstr>RENT_CALC!Print_Area</vt:lpstr>
      <vt:lpstr>Construction_Cost_Values!Print_Titles</vt:lpstr>
      <vt:lpstr>PIOC_FACTORS!Print_Titles</vt:lpstr>
    </vt:vector>
  </TitlesOfParts>
  <Company>HPD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NYC</dc:creator>
  <cp:lastModifiedBy>Anand, Puja</cp:lastModifiedBy>
  <cp:lastPrinted>2017-06-27T20:38:04Z</cp:lastPrinted>
  <dcterms:created xsi:type="dcterms:W3CDTF">2001-11-20T21:32:56Z</dcterms:created>
  <dcterms:modified xsi:type="dcterms:W3CDTF">2017-08-18T20:57:21Z</dcterms:modified>
</cp:coreProperties>
</file>