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nyco365-my.sharepoint.com/personal/knightd_hpd_nyc_gov/Documents/AMI/2025/"/>
    </mc:Choice>
  </mc:AlternateContent>
  <xr:revisionPtr revIDLastSave="248" documentId="13_ncr:1_{A37E7245-BE9C-4F21-8E28-CBA7585CD64F}" xr6:coauthVersionLast="47" xr6:coauthVersionMax="47" xr10:uidLastSave="{96469EE6-3E45-4545-AEAD-8DBC919FD336}"/>
  <workbookProtection workbookAlgorithmName="SHA-512" workbookHashValue="CNdYkVNuz5BxLSeCtpkOCMthI8NRfX5aL+52suw5NzFNwy56j4gwo7pgB3VPT19IO864xQzRicC1G256J8Wa2g==" workbookSaltValue="94Sd9s3nbyGkHTRimKHUUw==" workbookSpinCount="100000" lockStructure="1"/>
  <bookViews>
    <workbookView xWindow="-120" yWindow="-120" windowWidth="29040" windowHeight="15720" xr2:uid="{00000000-000D-0000-FFFF-FFFF00000000}"/>
  </bookViews>
  <sheets>
    <sheet name="AMI &amp; Rent" sheetId="1" r:id="rId1"/>
    <sheet name="AMI_Table" sheetId="5" state="veryHidden" r:id="rId2"/>
    <sheet name="Feeder Tables" sheetId="3" state="veryHidden" r:id="rId3"/>
  </sheets>
  <definedNames>
    <definedName name="_Fill" localSheetId="0" hidden="1">#REF!</definedName>
    <definedName name="_Fill" localSheetId="1" hidden="1">#REF!</definedName>
    <definedName name="_Fill" hidden="1">#REF!</definedName>
    <definedName name="_xlnm.Print_Area" localSheetId="0">'AMI &amp; Rent'!$R$9</definedName>
    <definedName name="_xlnm.Print_Area" localSheetId="1">AMI_Table!$A$1:$I$30</definedName>
    <definedName name="ProjectType" localSheetId="1">#REF!</definedName>
    <definedName name="ProjectType">'Feeder Tables'!$A$1:$A$2</definedName>
    <definedName name="solver_adj" localSheetId="0" hidden="1">'AMI &amp; Rent'!#REF!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'AMI &amp; Rent'!#REF!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21520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3" i="1" l="1"/>
  <c r="M22" i="1"/>
  <c r="M21" i="1"/>
  <c r="M20" i="1"/>
  <c r="M19" i="1"/>
  <c r="M18" i="1"/>
  <c r="L23" i="1"/>
  <c r="L20" i="1"/>
  <c r="K23" i="1"/>
  <c r="K22" i="1"/>
  <c r="K21" i="1"/>
  <c r="K20" i="1"/>
  <c r="K19" i="1"/>
  <c r="K18" i="1"/>
  <c r="J23" i="1"/>
  <c r="J22" i="1"/>
  <c r="J21" i="1"/>
  <c r="J20" i="1"/>
  <c r="J19" i="1"/>
  <c r="J18" i="1"/>
  <c r="H23" i="1"/>
  <c r="H22" i="1"/>
  <c r="H21" i="1"/>
  <c r="H20" i="1"/>
  <c r="H19" i="1"/>
  <c r="H18" i="1"/>
  <c r="G23" i="1"/>
  <c r="G20" i="1"/>
  <c r="G19" i="1"/>
  <c r="F23" i="1"/>
  <c r="F22" i="1"/>
  <c r="F21" i="1"/>
  <c r="F20" i="1"/>
  <c r="F19" i="1"/>
  <c r="F18" i="1"/>
  <c r="E23" i="1"/>
  <c r="E22" i="1"/>
  <c r="E21" i="1"/>
  <c r="E20" i="1"/>
  <c r="E19" i="1"/>
  <c r="E18" i="1"/>
  <c r="L186" i="1" l="1"/>
  <c r="E186" i="1"/>
  <c r="L185" i="1"/>
  <c r="J185" i="1"/>
  <c r="J184" i="1" s="1"/>
  <c r="J183" i="1" s="1"/>
  <c r="J182" i="1" s="1"/>
  <c r="J181" i="1" s="1"/>
  <c r="J180" i="1" s="1"/>
  <c r="J179" i="1" s="1"/>
  <c r="L184" i="1"/>
  <c r="F185" i="1" s="1"/>
  <c r="G185" i="1" s="1"/>
  <c r="L183" i="1"/>
  <c r="L182" i="1"/>
  <c r="F184" i="1" s="1"/>
  <c r="G184" i="1" s="1"/>
  <c r="L181" i="1"/>
  <c r="F183" i="1" s="1"/>
  <c r="G183" i="1" s="1"/>
  <c r="F181" i="1"/>
  <c r="G181" i="1" s="1"/>
  <c r="L180" i="1"/>
  <c r="K180" i="1"/>
  <c r="K181" i="1" s="1"/>
  <c r="K182" i="1" s="1"/>
  <c r="K183" i="1" s="1"/>
  <c r="K184" i="1" s="1"/>
  <c r="K185" i="1" s="1"/>
  <c r="K186" i="1" s="1"/>
  <c r="L179" i="1"/>
  <c r="E176" i="1"/>
  <c r="D23" i="1"/>
  <c r="D22" i="1"/>
  <c r="D19" i="1"/>
  <c r="D18" i="1"/>
  <c r="B23" i="1"/>
  <c r="B22" i="1"/>
  <c r="B21" i="1"/>
  <c r="B20" i="1"/>
  <c r="B19" i="1"/>
  <c r="B18" i="1"/>
  <c r="C23" i="1"/>
  <c r="C22" i="1"/>
  <c r="C21" i="1"/>
  <c r="C20" i="1"/>
  <c r="C19" i="1"/>
  <c r="C18" i="1"/>
  <c r="A5" i="1"/>
  <c r="F186" i="1" l="1"/>
  <c r="G186" i="1" s="1"/>
  <c r="F182" i="1"/>
  <c r="G182" i="1" s="1"/>
  <c r="B4" i="5"/>
  <c r="C4" i="5"/>
  <c r="D4" i="5"/>
  <c r="E4" i="5"/>
  <c r="F4" i="5"/>
  <c r="G4" i="5"/>
  <c r="H4" i="5"/>
  <c r="I4" i="5"/>
  <c r="B5" i="5"/>
  <c r="C5" i="5"/>
  <c r="D5" i="5"/>
  <c r="E5" i="5"/>
  <c r="F5" i="5"/>
  <c r="G5" i="5"/>
  <c r="H5" i="5"/>
  <c r="I5" i="5"/>
  <c r="B6" i="5"/>
  <c r="C6" i="5"/>
  <c r="D6" i="5"/>
  <c r="E6" i="5"/>
  <c r="F6" i="5"/>
  <c r="G6" i="5"/>
  <c r="H6" i="5"/>
  <c r="I6" i="5"/>
  <c r="B7" i="5"/>
  <c r="C7" i="5"/>
  <c r="D7" i="5"/>
  <c r="E7" i="5"/>
  <c r="F7" i="5"/>
  <c r="G7" i="5"/>
  <c r="H7" i="5"/>
  <c r="I7" i="5"/>
  <c r="B9" i="5"/>
  <c r="C9" i="5"/>
  <c r="D9" i="5"/>
  <c r="E9" i="5"/>
  <c r="F9" i="5"/>
  <c r="G9" i="5"/>
  <c r="H9" i="5"/>
  <c r="I9" i="5"/>
  <c r="B10" i="5"/>
  <c r="C10" i="5"/>
  <c r="D10" i="5"/>
  <c r="E10" i="5"/>
  <c r="F10" i="5"/>
  <c r="G10" i="5"/>
  <c r="H10" i="5"/>
  <c r="I10" i="5"/>
  <c r="B11" i="5"/>
  <c r="C11" i="5"/>
  <c r="D11" i="5"/>
  <c r="E11" i="5"/>
  <c r="F11" i="5"/>
  <c r="G11" i="5"/>
  <c r="H11" i="5"/>
  <c r="I11" i="5"/>
  <c r="B12" i="5"/>
  <c r="C12" i="5"/>
  <c r="D12" i="5"/>
  <c r="E12" i="5"/>
  <c r="F12" i="5"/>
  <c r="G12" i="5"/>
  <c r="H12" i="5"/>
  <c r="I12" i="5"/>
  <c r="B13" i="5"/>
  <c r="C13" i="5"/>
  <c r="D13" i="5"/>
  <c r="E13" i="5"/>
  <c r="F13" i="5"/>
  <c r="G13" i="5"/>
  <c r="H13" i="5"/>
  <c r="I13" i="5"/>
  <c r="B14" i="5"/>
  <c r="C14" i="5"/>
  <c r="D14" i="5"/>
  <c r="E14" i="5"/>
  <c r="F14" i="5"/>
  <c r="G14" i="5"/>
  <c r="H14" i="5"/>
  <c r="I14" i="5"/>
  <c r="B15" i="5"/>
  <c r="C15" i="5"/>
  <c r="D15" i="5"/>
  <c r="E15" i="5"/>
  <c r="F15" i="5"/>
  <c r="G15" i="5"/>
  <c r="H15" i="5"/>
  <c r="I15" i="5"/>
  <c r="B16" i="5"/>
  <c r="C16" i="5"/>
  <c r="D16" i="5"/>
  <c r="E16" i="5"/>
  <c r="F16" i="5"/>
  <c r="G16" i="5"/>
  <c r="H16" i="5"/>
  <c r="I16" i="5"/>
  <c r="B17" i="5"/>
  <c r="C17" i="5"/>
  <c r="D17" i="5"/>
  <c r="E17" i="5"/>
  <c r="F17" i="5"/>
  <c r="G17" i="5"/>
  <c r="H17" i="5"/>
  <c r="I17" i="5"/>
  <c r="B18" i="5"/>
  <c r="C18" i="5"/>
  <c r="D18" i="5"/>
  <c r="E18" i="5"/>
  <c r="F18" i="5"/>
  <c r="G18" i="5"/>
  <c r="H18" i="5"/>
  <c r="I18" i="5"/>
  <c r="B19" i="5"/>
  <c r="C19" i="5"/>
  <c r="D19" i="5"/>
  <c r="E19" i="5"/>
  <c r="F19" i="5"/>
  <c r="G19" i="5"/>
  <c r="H19" i="5"/>
  <c r="I19" i="5"/>
  <c r="B20" i="5"/>
  <c r="C20" i="5"/>
  <c r="D20" i="5"/>
  <c r="E20" i="5"/>
  <c r="F20" i="5"/>
  <c r="G20" i="5"/>
  <c r="H20" i="5"/>
  <c r="I20" i="5"/>
  <c r="B21" i="5"/>
  <c r="C21" i="5"/>
  <c r="D21" i="5"/>
  <c r="E21" i="5"/>
  <c r="F21" i="5"/>
  <c r="G21" i="5"/>
  <c r="H21" i="5"/>
  <c r="I21" i="5"/>
  <c r="B22" i="5"/>
  <c r="C22" i="5"/>
  <c r="D22" i="5"/>
  <c r="E22" i="5"/>
  <c r="F22" i="5"/>
  <c r="G22" i="5"/>
  <c r="H22" i="5"/>
  <c r="I22" i="5"/>
  <c r="B23" i="5"/>
  <c r="C23" i="5"/>
  <c r="D23" i="5"/>
  <c r="E23" i="5"/>
  <c r="F23" i="5"/>
  <c r="G23" i="5"/>
  <c r="H23" i="5"/>
  <c r="I23" i="5"/>
  <c r="B24" i="5"/>
  <c r="C24" i="5"/>
  <c r="D24" i="5"/>
  <c r="E24" i="5"/>
  <c r="F24" i="5"/>
  <c r="G24" i="5"/>
  <c r="H24" i="5"/>
  <c r="I24" i="5"/>
  <c r="B25" i="5"/>
  <c r="C25" i="5"/>
  <c r="D25" i="5"/>
  <c r="E25" i="5"/>
  <c r="F25" i="5"/>
  <c r="G25" i="5"/>
  <c r="H25" i="5"/>
  <c r="I25" i="5"/>
  <c r="B26" i="5"/>
  <c r="C26" i="5"/>
  <c r="D26" i="5"/>
  <c r="E26" i="5"/>
  <c r="F26" i="5"/>
  <c r="G26" i="5"/>
  <c r="H26" i="5"/>
  <c r="I26" i="5"/>
  <c r="B27" i="5"/>
  <c r="C27" i="5"/>
  <c r="D27" i="5"/>
  <c r="E27" i="5"/>
  <c r="F27" i="5"/>
  <c r="G27" i="5"/>
  <c r="H27" i="5"/>
  <c r="I27" i="5"/>
  <c r="B28" i="5"/>
  <c r="C28" i="5"/>
  <c r="D28" i="5"/>
  <c r="E28" i="5"/>
  <c r="F28" i="5"/>
  <c r="G28" i="5"/>
  <c r="H28" i="5"/>
  <c r="I28" i="5"/>
  <c r="L166" i="1"/>
  <c r="E189" i="1" l="1"/>
  <c r="E163" i="1"/>
  <c r="E150" i="1"/>
  <c r="E137" i="1"/>
  <c r="E124" i="1"/>
  <c r="E111" i="1"/>
  <c r="E98" i="1"/>
  <c r="E85" i="1"/>
  <c r="E72" i="1"/>
  <c r="E59" i="1"/>
  <c r="E46" i="1"/>
  <c r="E33" i="1"/>
  <c r="L39" i="1"/>
  <c r="L65" i="1"/>
  <c r="L160" i="1"/>
  <c r="E160" i="1"/>
  <c r="L159" i="1"/>
  <c r="J159" i="1"/>
  <c r="J158" i="1" s="1"/>
  <c r="J157" i="1" s="1"/>
  <c r="J156" i="1" s="1"/>
  <c r="J155" i="1" s="1"/>
  <c r="J154" i="1" s="1"/>
  <c r="J153" i="1" s="1"/>
  <c r="L158" i="1"/>
  <c r="F159" i="1" s="1"/>
  <c r="G159" i="1" s="1"/>
  <c r="L157" i="1"/>
  <c r="L156" i="1"/>
  <c r="L155" i="1"/>
  <c r="F157" i="1" s="1"/>
  <c r="G157" i="1" s="1"/>
  <c r="F155" i="1"/>
  <c r="G155" i="1" s="1"/>
  <c r="L154" i="1"/>
  <c r="K154" i="1"/>
  <c r="K155" i="1" s="1"/>
  <c r="K156" i="1" s="1"/>
  <c r="L153" i="1"/>
  <c r="L134" i="1"/>
  <c r="E134" i="1"/>
  <c r="L133" i="1"/>
  <c r="J133" i="1"/>
  <c r="J132" i="1" s="1"/>
  <c r="J131" i="1" s="1"/>
  <c r="J130" i="1" s="1"/>
  <c r="J129" i="1" s="1"/>
  <c r="J128" i="1" s="1"/>
  <c r="J127" i="1" s="1"/>
  <c r="L132" i="1"/>
  <c r="F133" i="1" s="1"/>
  <c r="G133" i="1" s="1"/>
  <c r="L131" i="1"/>
  <c r="L130" i="1"/>
  <c r="L129" i="1"/>
  <c r="F131" i="1" s="1"/>
  <c r="G131" i="1" s="1"/>
  <c r="F129" i="1"/>
  <c r="G129" i="1" s="1"/>
  <c r="L128" i="1"/>
  <c r="K128" i="1"/>
  <c r="K129" i="1" s="1"/>
  <c r="K130" i="1" s="1"/>
  <c r="L127" i="1"/>
  <c r="L121" i="1"/>
  <c r="E121" i="1"/>
  <c r="L120" i="1"/>
  <c r="J120" i="1"/>
  <c r="J119" i="1" s="1"/>
  <c r="J118" i="1" s="1"/>
  <c r="J117" i="1" s="1"/>
  <c r="J116" i="1" s="1"/>
  <c r="J115" i="1" s="1"/>
  <c r="J114" i="1" s="1"/>
  <c r="L119" i="1"/>
  <c r="F120" i="1" s="1"/>
  <c r="G120" i="1" s="1"/>
  <c r="L118" i="1"/>
  <c r="L117" i="1"/>
  <c r="L116" i="1"/>
  <c r="F118" i="1" s="1"/>
  <c r="G118" i="1" s="1"/>
  <c r="F116" i="1"/>
  <c r="G116" i="1" s="1"/>
  <c r="L115" i="1"/>
  <c r="K115" i="1"/>
  <c r="K116" i="1" s="1"/>
  <c r="K117" i="1" s="1"/>
  <c r="L114" i="1"/>
  <c r="F194" i="1"/>
  <c r="F168" i="1"/>
  <c r="F142" i="1"/>
  <c r="F103" i="1"/>
  <c r="F90" i="1"/>
  <c r="F77" i="1"/>
  <c r="L199" i="1"/>
  <c r="L198" i="1"/>
  <c r="L197" i="1"/>
  <c r="F198" i="1" s="1"/>
  <c r="L196" i="1"/>
  <c r="L195" i="1"/>
  <c r="L194" i="1"/>
  <c r="F196" i="1" s="1"/>
  <c r="L193" i="1"/>
  <c r="L192" i="1"/>
  <c r="L173" i="1"/>
  <c r="L172" i="1"/>
  <c r="L171" i="1"/>
  <c r="F172" i="1" s="1"/>
  <c r="L170" i="1"/>
  <c r="L169" i="1"/>
  <c r="L168" i="1"/>
  <c r="F170" i="1" s="1"/>
  <c r="L167" i="1"/>
  <c r="L147" i="1"/>
  <c r="L146" i="1"/>
  <c r="L145" i="1"/>
  <c r="F146" i="1" s="1"/>
  <c r="L144" i="1"/>
  <c r="L143" i="1"/>
  <c r="L142" i="1"/>
  <c r="F144" i="1" s="1"/>
  <c r="L141" i="1"/>
  <c r="L140" i="1"/>
  <c r="L108" i="1"/>
  <c r="L107" i="1"/>
  <c r="L106" i="1"/>
  <c r="F107" i="1" s="1"/>
  <c r="L105" i="1"/>
  <c r="L104" i="1"/>
  <c r="L103" i="1"/>
  <c r="F105" i="1" s="1"/>
  <c r="L102" i="1"/>
  <c r="L101" i="1"/>
  <c r="L95" i="1"/>
  <c r="L94" i="1"/>
  <c r="L93" i="1"/>
  <c r="F94" i="1" s="1"/>
  <c r="L92" i="1"/>
  <c r="L91" i="1"/>
  <c r="L90" i="1"/>
  <c r="F92" i="1" s="1"/>
  <c r="L89" i="1"/>
  <c r="L88" i="1"/>
  <c r="L82" i="1"/>
  <c r="L81" i="1"/>
  <c r="L80" i="1"/>
  <c r="F81" i="1" s="1"/>
  <c r="L79" i="1"/>
  <c r="L78" i="1"/>
  <c r="L77" i="1"/>
  <c r="F79" i="1" s="1"/>
  <c r="L76" i="1"/>
  <c r="L75" i="1"/>
  <c r="L69" i="1"/>
  <c r="L68" i="1"/>
  <c r="L67" i="1"/>
  <c r="F68" i="1" s="1"/>
  <c r="L66" i="1"/>
  <c r="L64" i="1"/>
  <c r="F66" i="1" s="1"/>
  <c r="L63" i="1"/>
  <c r="L62" i="1"/>
  <c r="F64" i="1"/>
  <c r="F51" i="1"/>
  <c r="F38" i="1"/>
  <c r="L56" i="1"/>
  <c r="L55" i="1"/>
  <c r="L54" i="1"/>
  <c r="F55" i="1" s="1"/>
  <c r="L53" i="1"/>
  <c r="L52" i="1"/>
  <c r="L51" i="1"/>
  <c r="F53" i="1" s="1"/>
  <c r="L50" i="1"/>
  <c r="L49" i="1"/>
  <c r="L43" i="1"/>
  <c r="L42" i="1"/>
  <c r="L41" i="1"/>
  <c r="F42" i="1" s="1"/>
  <c r="L40" i="1"/>
  <c r="L38" i="1"/>
  <c r="F40" i="1" s="1"/>
  <c r="L37" i="1"/>
  <c r="L36" i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C3" i="5"/>
  <c r="D3" i="5" s="1"/>
  <c r="F80" i="1" l="1"/>
  <c r="F134" i="1"/>
  <c r="G134" i="1" s="1"/>
  <c r="F130" i="1"/>
  <c r="G130" i="1" s="1"/>
  <c r="F145" i="1"/>
  <c r="F132" i="1"/>
  <c r="G132" i="1" s="1"/>
  <c r="F158" i="1"/>
  <c r="G158" i="1" s="1"/>
  <c r="F160" i="1"/>
  <c r="G160" i="1" s="1"/>
  <c r="F156" i="1"/>
  <c r="G156" i="1" s="1"/>
  <c r="K157" i="1"/>
  <c r="K158" i="1" s="1"/>
  <c r="K159" i="1" s="1"/>
  <c r="K160" i="1" s="1"/>
  <c r="K131" i="1"/>
  <c r="K132" i="1" s="1"/>
  <c r="K133" i="1" s="1"/>
  <c r="K134" i="1" s="1"/>
  <c r="F119" i="1"/>
  <c r="G119" i="1" s="1"/>
  <c r="F121" i="1"/>
  <c r="G121" i="1" s="1"/>
  <c r="F117" i="1"/>
  <c r="G117" i="1" s="1"/>
  <c r="F106" i="1"/>
  <c r="K118" i="1"/>
  <c r="K119" i="1" s="1"/>
  <c r="K120" i="1" s="1"/>
  <c r="K121" i="1" s="1"/>
  <c r="F54" i="1"/>
  <c r="F91" i="1"/>
  <c r="F173" i="1"/>
  <c r="F78" i="1"/>
  <c r="F82" i="1"/>
  <c r="F143" i="1"/>
  <c r="F147" i="1"/>
  <c r="F52" i="1"/>
  <c r="F67" i="1"/>
  <c r="F95" i="1"/>
  <c r="F169" i="1"/>
  <c r="F197" i="1"/>
  <c r="F65" i="1"/>
  <c r="F69" i="1"/>
  <c r="F104" i="1"/>
  <c r="F108" i="1"/>
  <c r="F195" i="1"/>
  <c r="F199" i="1"/>
  <c r="F56" i="1"/>
  <c r="F93" i="1"/>
  <c r="F171" i="1"/>
  <c r="F41" i="1"/>
  <c r="F39" i="1"/>
  <c r="E3" i="5"/>
  <c r="F3" i="5" l="1"/>
  <c r="G3" i="5" l="1"/>
  <c r="H3" i="5" l="1"/>
  <c r="G105" i="1"/>
  <c r="G103" i="1"/>
  <c r="G107" i="1"/>
  <c r="G104" i="1"/>
  <c r="G22" i="1"/>
  <c r="G21" i="1"/>
  <c r="G18" i="1"/>
  <c r="L22" i="1"/>
  <c r="L21" i="1"/>
  <c r="L19" i="1"/>
  <c r="L18" i="1"/>
  <c r="D21" i="1"/>
  <c r="D20" i="1"/>
  <c r="I3" i="5" l="1"/>
  <c r="G91" i="1" l="1"/>
  <c r="G92" i="1"/>
  <c r="G94" i="1"/>
  <c r="G90" i="1"/>
  <c r="K89" i="1"/>
  <c r="K90" i="1"/>
  <c r="E95" i="1"/>
  <c r="J94" i="1"/>
  <c r="J93" i="1" s="1"/>
  <c r="J92" i="1" s="1"/>
  <c r="J91" i="1" s="1"/>
  <c r="J90" i="1" s="1"/>
  <c r="J89" i="1" s="1"/>
  <c r="J88" i="1" s="1"/>
  <c r="K193" i="1"/>
  <c r="G196" i="1"/>
  <c r="G198" i="1"/>
  <c r="G194" i="1"/>
  <c r="K167" i="1"/>
  <c r="K168" i="1" s="1"/>
  <c r="K169" i="1" s="1"/>
  <c r="G170" i="1"/>
  <c r="G172" i="1"/>
  <c r="G168" i="1"/>
  <c r="K141" i="1"/>
  <c r="G144" i="1"/>
  <c r="G146" i="1"/>
  <c r="G142" i="1"/>
  <c r="K102" i="1"/>
  <c r="K103" i="1" s="1"/>
  <c r="K104" i="1" s="1"/>
  <c r="K105" i="1" s="1"/>
  <c r="K76" i="1"/>
  <c r="G79" i="1"/>
  <c r="K77" i="1"/>
  <c r="K78" i="1" s="1"/>
  <c r="G81" i="1"/>
  <c r="G77" i="1"/>
  <c r="K63" i="1"/>
  <c r="G65" i="1" s="1"/>
  <c r="G66" i="1"/>
  <c r="G68" i="1"/>
  <c r="G64" i="1"/>
  <c r="K50" i="1"/>
  <c r="K51" i="1" s="1"/>
  <c r="K52" i="1" s="1"/>
  <c r="G52" i="1"/>
  <c r="G53" i="1"/>
  <c r="G55" i="1"/>
  <c r="G51" i="1"/>
  <c r="K37" i="1"/>
  <c r="K38" i="1" s="1"/>
  <c r="K39" i="1" s="1"/>
  <c r="G39" i="1"/>
  <c r="G40" i="1"/>
  <c r="G42" i="1"/>
  <c r="G38" i="1"/>
  <c r="E43" i="1"/>
  <c r="J42" i="1"/>
  <c r="J41" i="1" s="1"/>
  <c r="J40" i="1" s="1"/>
  <c r="J39" i="1" s="1"/>
  <c r="J38" i="1" s="1"/>
  <c r="J37" i="1" s="1"/>
  <c r="J36" i="1" s="1"/>
  <c r="E199" i="1"/>
  <c r="J198" i="1"/>
  <c r="J197" i="1" s="1"/>
  <c r="J196" i="1" s="1"/>
  <c r="J195" i="1" s="1"/>
  <c r="J194" i="1" s="1"/>
  <c r="J193" i="1" s="1"/>
  <c r="J192" i="1" s="1"/>
  <c r="E173" i="1"/>
  <c r="J172" i="1"/>
  <c r="J171" i="1" s="1"/>
  <c r="J170" i="1" s="1"/>
  <c r="J169" i="1" s="1"/>
  <c r="J168" i="1" s="1"/>
  <c r="J167" i="1" s="1"/>
  <c r="J166" i="1" s="1"/>
  <c r="E147" i="1"/>
  <c r="J146" i="1"/>
  <c r="J145" i="1" s="1"/>
  <c r="J144" i="1" s="1"/>
  <c r="J143" i="1" s="1"/>
  <c r="J142" i="1" s="1"/>
  <c r="J141" i="1" s="1"/>
  <c r="J140" i="1" s="1"/>
  <c r="E108" i="1"/>
  <c r="J107" i="1"/>
  <c r="J106" i="1" s="1"/>
  <c r="J105" i="1" s="1"/>
  <c r="J104" i="1" s="1"/>
  <c r="J103" i="1" s="1"/>
  <c r="J102" i="1" s="1"/>
  <c r="J101" i="1" s="1"/>
  <c r="E82" i="1"/>
  <c r="J81" i="1"/>
  <c r="J80" i="1" s="1"/>
  <c r="J79" i="1" s="1"/>
  <c r="J78" i="1" s="1"/>
  <c r="J77" i="1" s="1"/>
  <c r="J76" i="1" s="1"/>
  <c r="J75" i="1" s="1"/>
  <c r="E69" i="1"/>
  <c r="J68" i="1"/>
  <c r="J67" i="1" s="1"/>
  <c r="J66" i="1" s="1"/>
  <c r="J65" i="1" s="1"/>
  <c r="J64" i="1" s="1"/>
  <c r="J63" i="1" s="1"/>
  <c r="J62" i="1" s="1"/>
  <c r="E56" i="1"/>
  <c r="J55" i="1"/>
  <c r="J54" i="1" s="1"/>
  <c r="J53" i="1" s="1"/>
  <c r="J52" i="1" s="1"/>
  <c r="J51" i="1" s="1"/>
  <c r="J50" i="1" s="1"/>
  <c r="J49" i="1" s="1"/>
  <c r="K79" i="1" l="1"/>
  <c r="K80" i="1" s="1"/>
  <c r="K81" i="1" s="1"/>
  <c r="K64" i="1"/>
  <c r="K65" i="1" s="1"/>
  <c r="K66" i="1" s="1"/>
  <c r="G169" i="1"/>
  <c r="G78" i="1"/>
  <c r="N23" i="1"/>
  <c r="H186" i="1" s="1"/>
  <c r="K194" i="1"/>
  <c r="G195" i="1"/>
  <c r="K40" i="1"/>
  <c r="G80" i="1"/>
  <c r="N18" i="1"/>
  <c r="N21" i="1"/>
  <c r="H184" i="1" s="1"/>
  <c r="K91" i="1"/>
  <c r="K53" i="1"/>
  <c r="N19" i="1"/>
  <c r="G106" i="1"/>
  <c r="K106" i="1"/>
  <c r="G143" i="1"/>
  <c r="K142" i="1"/>
  <c r="K170" i="1"/>
  <c r="N22" i="1"/>
  <c r="N20" i="1"/>
  <c r="H168" i="1" l="1"/>
  <c r="H181" i="1"/>
  <c r="H55" i="1"/>
  <c r="H185" i="1"/>
  <c r="H66" i="1"/>
  <c r="H183" i="1"/>
  <c r="H39" i="1"/>
  <c r="H182" i="1"/>
  <c r="H143" i="1"/>
  <c r="H134" i="1"/>
  <c r="H121" i="1"/>
  <c r="H160" i="1"/>
  <c r="H146" i="1"/>
  <c r="H40" i="1"/>
  <c r="H38" i="1"/>
  <c r="H129" i="1"/>
  <c r="H116" i="1"/>
  <c r="H155" i="1"/>
  <c r="H103" i="1"/>
  <c r="H94" i="1"/>
  <c r="H198" i="1"/>
  <c r="H131" i="1"/>
  <c r="H157" i="1"/>
  <c r="H118" i="1"/>
  <c r="H105" i="1"/>
  <c r="H106" i="1"/>
  <c r="H169" i="1"/>
  <c r="H92" i="1"/>
  <c r="H172" i="1"/>
  <c r="H51" i="1"/>
  <c r="H158" i="1"/>
  <c r="H119" i="1"/>
  <c r="H132" i="1"/>
  <c r="H120" i="1"/>
  <c r="H133" i="1"/>
  <c r="H159" i="1"/>
  <c r="H107" i="1"/>
  <c r="H130" i="1"/>
  <c r="H156" i="1"/>
  <c r="H117" i="1"/>
  <c r="H104" i="1"/>
  <c r="H170" i="1"/>
  <c r="H65" i="1"/>
  <c r="H194" i="1"/>
  <c r="H68" i="1"/>
  <c r="H195" i="1"/>
  <c r="H142" i="1"/>
  <c r="H53" i="1"/>
  <c r="H90" i="1"/>
  <c r="H144" i="1"/>
  <c r="H91" i="1"/>
  <c r="H52" i="1"/>
  <c r="H42" i="1"/>
  <c r="H196" i="1"/>
  <c r="H64" i="1"/>
  <c r="H79" i="1"/>
  <c r="K195" i="1"/>
  <c r="G171" i="1"/>
  <c r="H171" i="1" s="1"/>
  <c r="K171" i="1"/>
  <c r="K107" i="1"/>
  <c r="K92" i="1"/>
  <c r="H80" i="1"/>
  <c r="K67" i="1"/>
  <c r="H78" i="1"/>
  <c r="G54" i="1"/>
  <c r="H54" i="1" s="1"/>
  <c r="K54" i="1"/>
  <c r="G67" i="1"/>
  <c r="H67" i="1" s="1"/>
  <c r="H81" i="1"/>
  <c r="K143" i="1"/>
  <c r="K82" i="1"/>
  <c r="K41" i="1"/>
  <c r="G41" i="1"/>
  <c r="H41" i="1" s="1"/>
  <c r="H77" i="1"/>
  <c r="G82" i="1" l="1"/>
  <c r="H82" i="1" s="1"/>
  <c r="G93" i="1"/>
  <c r="H93" i="1" s="1"/>
  <c r="K93" i="1"/>
  <c r="K42" i="1"/>
  <c r="K108" i="1"/>
  <c r="K172" i="1"/>
  <c r="K196" i="1"/>
  <c r="K144" i="1"/>
  <c r="K55" i="1"/>
  <c r="K68" i="1"/>
  <c r="K197" i="1" l="1"/>
  <c r="G197" i="1"/>
  <c r="H197" i="1" s="1"/>
  <c r="K173" i="1"/>
  <c r="G173" i="1"/>
  <c r="H173" i="1" s="1"/>
  <c r="K145" i="1"/>
  <c r="G145" i="1"/>
  <c r="H145" i="1" s="1"/>
  <c r="K56" i="1"/>
  <c r="K69" i="1"/>
  <c r="G69" i="1"/>
  <c r="H69" i="1" s="1"/>
  <c r="G108" i="1"/>
  <c r="H108" i="1" s="1"/>
  <c r="K94" i="1"/>
  <c r="K43" i="1"/>
  <c r="F43" i="1" l="1"/>
  <c r="G43" i="1" s="1"/>
  <c r="H43" i="1" s="1"/>
  <c r="G56" i="1"/>
  <c r="H56" i="1" s="1"/>
  <c r="K95" i="1"/>
  <c r="K146" i="1"/>
  <c r="K198" i="1"/>
  <c r="G95" i="1" l="1"/>
  <c r="H95" i="1" s="1"/>
  <c r="K199" i="1"/>
  <c r="K147" i="1"/>
  <c r="G147" i="1"/>
  <c r="H147" i="1" s="1"/>
  <c r="G199" i="1" l="1"/>
  <c r="H199" i="1" s="1"/>
</calcChain>
</file>

<file path=xl/sharedStrings.xml><?xml version="1.0" encoding="utf-8"?>
<sst xmlns="http://schemas.openxmlformats.org/spreadsheetml/2006/main" count="283" uniqueCount="49">
  <si>
    <t>for a family of four</t>
  </si>
  <si>
    <t>studio</t>
  </si>
  <si>
    <t>1 BR</t>
  </si>
  <si>
    <t>Rent Burden</t>
  </si>
  <si>
    <t>2 BR</t>
  </si>
  <si>
    <t>3 BR</t>
  </si>
  <si>
    <t>4 BR</t>
  </si>
  <si>
    <t>5 BR</t>
  </si>
  <si>
    <t>As of:</t>
  </si>
  <si>
    <t>of AMI</t>
  </si>
  <si>
    <t>Income</t>
  </si>
  <si>
    <t>HH Size</t>
  </si>
  <si>
    <t>HH Factor</t>
  </si>
  <si>
    <t>Limit</t>
  </si>
  <si>
    <t>HH size</t>
  </si>
  <si>
    <t>HH factor</t>
  </si>
  <si>
    <t>Preservation/Rehab</t>
  </si>
  <si>
    <t>New Construction/Special Needs</t>
  </si>
  <si>
    <t>Apartment Electricity only</t>
  </si>
  <si>
    <t xml:space="preserve">Gas Heat </t>
  </si>
  <si>
    <t>Oil Heat</t>
  </si>
  <si>
    <t>Heat</t>
  </si>
  <si>
    <t>Cooking</t>
  </si>
  <si>
    <t xml:space="preserve"> Electric Stove</t>
  </si>
  <si>
    <t xml:space="preserve">Gas Stove </t>
  </si>
  <si>
    <t>Hot Water</t>
  </si>
  <si>
    <t>Electric Hot Water - Heat Pump</t>
  </si>
  <si>
    <t>Electric Hot Water - Other</t>
  </si>
  <si>
    <t>Gas Hot Water</t>
  </si>
  <si>
    <t>Oil Hot Water</t>
  </si>
  <si>
    <t xml:space="preserve">Select --&gt;&gt; </t>
  </si>
  <si>
    <t>Project Total</t>
  </si>
  <si>
    <t>Gross Rent (No utilities removed)</t>
  </si>
  <si>
    <t xml:space="preserve">Underwritten Rent    (Utilities Removed)    </t>
  </si>
  <si>
    <t>Footnotes</t>
  </si>
  <si>
    <t>(2)  Other: e.g. Electric Resistance Heating, Electric PTACs, Electric Furnace</t>
  </si>
  <si>
    <t xml:space="preserve">(1)  Product must be listed on the NEEP Cold Climate Air Source Heat Pump (ccASHP) Product List: https://ashp.neep.org/#!/ </t>
  </si>
  <si>
    <r>
      <t>Electric Heat - Cold Climate Air Source Heat Pump (ccASHP)</t>
    </r>
    <r>
      <rPr>
        <b/>
        <vertAlign val="superscript"/>
        <sz val="11"/>
        <rFont val="Arial"/>
        <family val="2"/>
      </rPr>
      <t>1</t>
    </r>
  </si>
  <si>
    <r>
      <t>Electric Heat - Other</t>
    </r>
    <r>
      <rPr>
        <b/>
        <vertAlign val="superscript"/>
        <sz val="11"/>
        <rFont val="Arial"/>
        <family val="2"/>
      </rPr>
      <t>2</t>
    </r>
  </si>
  <si>
    <r>
      <t xml:space="preserve">Step 2:  The total applicable tenant-paid utility allowances for the project are removed from the </t>
    </r>
    <r>
      <rPr>
        <b/>
        <u/>
        <sz val="14"/>
        <color rgb="FFFF0000"/>
        <rFont val="Arial"/>
        <family val="2"/>
      </rPr>
      <t>Underwritten Rents</t>
    </r>
    <r>
      <rPr>
        <b/>
        <sz val="14"/>
        <color rgb="FFFF0000"/>
        <rFont val="Arial"/>
        <family val="2"/>
      </rPr>
      <t xml:space="preserve"> published below.</t>
    </r>
  </si>
  <si>
    <t xml:space="preserve"> Projects also going through HPD loan programs must defer to allowances and rules provided by HPD loan programs. </t>
  </si>
  <si>
    <t>2025 Area Median Income</t>
  </si>
  <si>
    <t>2 BR 100% FMR (2025)</t>
  </si>
  <si>
    <t>N/A or owner pays</t>
  </si>
  <si>
    <t>Inclusionary AMIs and Utility Allowances</t>
  </si>
  <si>
    <r>
      <t xml:space="preserve">Step 1:  Select all applicable </t>
    </r>
    <r>
      <rPr>
        <b/>
        <u/>
        <sz val="14"/>
        <color rgb="FFFF0000"/>
        <rFont val="Arial"/>
        <family val="2"/>
      </rPr>
      <t>tenant-paid</t>
    </r>
    <r>
      <rPr>
        <b/>
        <sz val="14"/>
        <color rgb="FFFF0000"/>
        <rFont val="Arial"/>
        <family val="2"/>
      </rPr>
      <t xml:space="preserve"> utility allowances from the table below. 
Note: these allowances are for the Inclusionary Housing Program (Mandatory IH, Voluntary IH, Universal Affordability Preference, Cure). Consult additional program documentation as needed.</t>
    </r>
  </si>
  <si>
    <t>100% AMI for a family of four</t>
  </si>
  <si>
    <r>
      <t xml:space="preserve">2025 Utility Allowances for </t>
    </r>
    <r>
      <rPr>
        <b/>
        <u/>
        <sz val="12"/>
        <rFont val="Arial"/>
        <family val="2"/>
      </rPr>
      <t>Inclusionary Housing Program</t>
    </r>
  </si>
  <si>
    <t>Tenant Pays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</si>
</sst>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3" formatCode="_(* #,##0.00_);_(* \(#,##0.00\);_(* &quot;-&quot;??_);_(@_)"/>
    <numFmt numFmtId="164" formatCode="&quot;Income Limits &amp; Rents at &quot;0%\ &quot;AMI&quot;"/>
    <numFmt numFmtId="165" formatCode="&quot;Income Limits &amp; Rents at &quot;0%\ &quot;of AMI&quot;"/>
    <numFmt numFmtId="166" formatCode="0%\ &quot;of AMI&quot;"/>
    <numFmt numFmtId="167" formatCode="&quot;CY&quot;0\ &quot;NYC HUD INCOME LIMITS&quot;"/>
    <numFmt numFmtId="168" formatCode="0&quot;-person&quot;"/>
    <numFmt numFmtId="169" formatCode="&quot;$&quot;#,##0"/>
  </numFmts>
  <fonts count="26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ourier New"/>
      <family val="3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1"/>
      <name val="Arial"/>
      <family val="2"/>
    </font>
    <font>
      <b/>
      <sz val="12"/>
      <color rgb="FFC00000"/>
      <name val="Arial"/>
      <family val="2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sz val="8"/>
      <name val="Arial"/>
      <family val="2"/>
    </font>
    <font>
      <b/>
      <u/>
      <sz val="14"/>
      <color rgb="FFFF0000"/>
      <name val="Arial"/>
      <family val="2"/>
    </font>
    <font>
      <sz val="9"/>
      <color rgb="FFFF0000"/>
      <name val="Arial"/>
      <family val="2"/>
    </font>
    <font>
      <u/>
      <sz val="10"/>
      <color theme="0" tint="-0.499984740745262"/>
      <name val="Arial"/>
      <family val="2"/>
    </font>
    <font>
      <i/>
      <sz val="10"/>
      <color theme="0" tint="-0.499984740745262"/>
      <name val="Arial"/>
      <family val="2"/>
    </font>
    <font>
      <b/>
      <vertAlign val="superscript"/>
      <sz val="11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11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4" fillId="0" borderId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2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</cellStyleXfs>
  <cellXfs count="153">
    <xf numFmtId="0" fontId="0" fillId="0" borderId="0" xfId="0"/>
    <xf numFmtId="9" fontId="5" fillId="0" borderId="0" xfId="4" applyFont="1" applyFill="1" applyBorder="1" applyAlignment="1">
      <alignment horizontal="left"/>
    </xf>
    <xf numFmtId="0" fontId="6" fillId="0" borderId="0" xfId="0" applyFont="1" applyFill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1" xfId="0" applyFont="1" applyBorder="1"/>
    <xf numFmtId="0" fontId="6" fillId="0" borderId="0" xfId="3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6" fontId="6" fillId="0" borderId="0" xfId="0" applyNumberFormat="1" applyFont="1"/>
    <xf numFmtId="0" fontId="6" fillId="0" borderId="0" xfId="0" applyFont="1" applyAlignment="1">
      <alignment horizontal="center"/>
    </xf>
    <xf numFmtId="14" fontId="6" fillId="0" borderId="0" xfId="0" applyNumberFormat="1" applyFont="1"/>
    <xf numFmtId="2" fontId="11" fillId="0" borderId="0" xfId="0" applyNumberFormat="1" applyFont="1" applyAlignment="1">
      <alignment horizontal="center"/>
    </xf>
    <xf numFmtId="0" fontId="7" fillId="0" borderId="12" xfId="0" applyFont="1" applyBorder="1" applyAlignment="1">
      <alignment horizontal="left"/>
    </xf>
    <xf numFmtId="168" fontId="7" fillId="0" borderId="12" xfId="0" applyNumberFormat="1" applyFont="1" applyBorder="1"/>
    <xf numFmtId="9" fontId="0" fillId="0" borderId="0" xfId="0" applyNumberFormat="1" applyAlignment="1">
      <alignment horizontal="left"/>
    </xf>
    <xf numFmtId="3" fontId="0" fillId="0" borderId="0" xfId="0" applyNumberFormat="1"/>
    <xf numFmtId="9" fontId="0" fillId="4" borderId="0" xfId="0" applyNumberFormat="1" applyFill="1" applyAlignment="1">
      <alignment horizontal="left"/>
    </xf>
    <xf numFmtId="3" fontId="0" fillId="4" borderId="0" xfId="0" applyNumberFormat="1" applyFill="1"/>
    <xf numFmtId="9" fontId="0" fillId="0" borderId="0" xfId="0" applyNumberFormat="1"/>
    <xf numFmtId="9" fontId="0" fillId="0" borderId="13" xfId="0" applyNumberFormat="1" applyBorder="1" applyAlignment="1">
      <alignment horizontal="left"/>
    </xf>
    <xf numFmtId="3" fontId="0" fillId="0" borderId="13" xfId="0" applyNumberFormat="1" applyBorder="1"/>
    <xf numFmtId="0" fontId="0" fillId="0" borderId="0" xfId="0" applyBorder="1" applyAlignment="1">
      <alignment horizontal="left"/>
    </xf>
    <xf numFmtId="169" fontId="2" fillId="0" borderId="0" xfId="7" applyNumberFormat="1" applyAlignment="1">
      <alignment horizontal="center"/>
    </xf>
    <xf numFmtId="0" fontId="6" fillId="0" borderId="0" xfId="0" applyFont="1" applyFill="1"/>
    <xf numFmtId="3" fontId="0" fillId="5" borderId="0" xfId="0" applyNumberFormat="1" applyFill="1"/>
    <xf numFmtId="169" fontId="0" fillId="0" borderId="0" xfId="0" applyNumberFormat="1"/>
    <xf numFmtId="3" fontId="7" fillId="6" borderId="2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left"/>
    </xf>
    <xf numFmtId="14" fontId="7" fillId="2" borderId="2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9" fontId="7" fillId="2" borderId="2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16" fillId="0" borderId="0" xfId="0" applyFont="1" applyBorder="1"/>
    <xf numFmtId="0" fontId="6" fillId="0" borderId="5" xfId="0" applyFont="1" applyBorder="1"/>
    <xf numFmtId="0" fontId="6" fillId="0" borderId="5" xfId="0" applyFont="1" applyFill="1" applyBorder="1"/>
    <xf numFmtId="0" fontId="0" fillId="0" borderId="0" xfId="3" applyFont="1" applyFill="1" applyBorder="1" applyAlignment="1">
      <alignment horizontal="center"/>
    </xf>
    <xf numFmtId="0" fontId="7" fillId="0" borderId="0" xfId="0" applyFont="1" applyBorder="1"/>
    <xf numFmtId="0" fontId="18" fillId="0" borderId="0" xfId="0" applyFont="1" applyBorder="1"/>
    <xf numFmtId="3" fontId="6" fillId="0" borderId="0" xfId="0" applyNumberFormat="1" applyFont="1" applyBorder="1"/>
    <xf numFmtId="0" fontId="22" fillId="0" borderId="0" xfId="0" applyFont="1" applyBorder="1"/>
    <xf numFmtId="0" fontId="23" fillId="0" borderId="0" xfId="0" quotePrefix="1" applyFont="1" applyBorder="1"/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0" xfId="0" applyFont="1" applyFill="1" applyBorder="1"/>
    <xf numFmtId="0" fontId="18" fillId="0" borderId="0" xfId="0" applyFont="1" applyBorder="1" applyAlignment="1">
      <alignment horizontal="left" indent="4"/>
    </xf>
    <xf numFmtId="3" fontId="6" fillId="0" borderId="5" xfId="0" applyNumberFormat="1" applyFont="1" applyFill="1" applyBorder="1" applyAlignment="1">
      <alignment horizontal="center"/>
    </xf>
    <xf numFmtId="0" fontId="1" fillId="0" borderId="0" xfId="210"/>
    <xf numFmtId="169" fontId="1" fillId="0" borderId="0" xfId="21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Border="1"/>
    <xf numFmtId="0" fontId="17" fillId="0" borderId="0" xfId="0" applyFont="1" applyBorder="1" applyAlignment="1">
      <alignment horizontal="left" vertical="center" indent="1"/>
    </xf>
    <xf numFmtId="0" fontId="21" fillId="7" borderId="18" xfId="0" applyFont="1" applyFill="1" applyBorder="1" applyAlignment="1" applyProtection="1">
      <alignment horizontal="center" vertical="center" wrapText="1"/>
      <protection locked="0"/>
    </xf>
    <xf numFmtId="3" fontId="7" fillId="3" borderId="19" xfId="0" applyNumberFormat="1" applyFont="1" applyFill="1" applyBorder="1" applyAlignment="1" applyProtection="1">
      <alignment horizontal="center"/>
      <protection hidden="1"/>
    </xf>
    <xf numFmtId="3" fontId="7" fillId="3" borderId="28" xfId="0" applyNumberFormat="1" applyFont="1" applyFill="1" applyBorder="1" applyAlignment="1" applyProtection="1">
      <alignment horizontal="center"/>
      <protection hidden="1"/>
    </xf>
    <xf numFmtId="3" fontId="7" fillId="3" borderId="15" xfId="0" applyNumberFormat="1" applyFont="1" applyFill="1" applyBorder="1" applyAlignment="1" applyProtection="1">
      <alignment horizontal="center"/>
      <protection hidden="1"/>
    </xf>
    <xf numFmtId="3" fontId="7" fillId="3" borderId="27" xfId="0" applyNumberFormat="1" applyFont="1" applyFill="1" applyBorder="1" applyAlignment="1" applyProtection="1">
      <alignment horizontal="center"/>
      <protection hidden="1"/>
    </xf>
    <xf numFmtId="3" fontId="7" fillId="3" borderId="21" xfId="0" applyNumberFormat="1" applyFont="1" applyFill="1" applyBorder="1" applyAlignment="1" applyProtection="1">
      <alignment horizontal="center"/>
      <protection hidden="1"/>
    </xf>
    <xf numFmtId="3" fontId="7" fillId="3" borderId="30" xfId="0" applyNumberFormat="1" applyFont="1" applyFill="1" applyBorder="1" applyAlignment="1" applyProtection="1">
      <alignment horizontal="center"/>
      <protection hidden="1"/>
    </xf>
    <xf numFmtId="3" fontId="7" fillId="3" borderId="2" xfId="0" applyNumberFormat="1" applyFont="1" applyFill="1" applyBorder="1" applyAlignment="1" applyProtection="1">
      <alignment horizontal="center"/>
      <protection hidden="1"/>
    </xf>
    <xf numFmtId="3" fontId="7" fillId="3" borderId="29" xfId="0" applyNumberFormat="1" applyFont="1" applyFill="1" applyBorder="1" applyAlignment="1" applyProtection="1">
      <alignment horizontal="center"/>
      <protection hidden="1"/>
    </xf>
    <xf numFmtId="3" fontId="7" fillId="3" borderId="31" xfId="0" applyNumberFormat="1" applyFont="1" applyFill="1" applyBorder="1" applyAlignment="1" applyProtection="1">
      <alignment horizontal="center"/>
      <protection hidden="1"/>
    </xf>
    <xf numFmtId="3" fontId="7" fillId="3" borderId="32" xfId="0" applyNumberFormat="1" applyFont="1" applyFill="1" applyBorder="1" applyAlignment="1" applyProtection="1">
      <alignment horizontal="center"/>
      <protection hidden="1"/>
    </xf>
    <xf numFmtId="3" fontId="7" fillId="3" borderId="23" xfId="0" applyNumberFormat="1" applyFont="1" applyFill="1" applyBorder="1" applyAlignment="1" applyProtection="1">
      <alignment horizontal="center"/>
      <protection hidden="1"/>
    </xf>
    <xf numFmtId="3" fontId="7" fillId="3" borderId="24" xfId="0" applyNumberFormat="1" applyFont="1" applyFill="1" applyBorder="1" applyAlignment="1" applyProtection="1">
      <alignment horizontal="center"/>
      <protection hidden="1"/>
    </xf>
    <xf numFmtId="9" fontId="13" fillId="2" borderId="2" xfId="0" applyNumberFormat="1" applyFont="1" applyFill="1" applyBorder="1" applyAlignment="1" applyProtection="1">
      <alignment horizontal="center"/>
      <protection hidden="1"/>
    </xf>
    <xf numFmtId="9" fontId="9" fillId="0" borderId="4" xfId="0" applyNumberFormat="1" applyFont="1" applyFill="1" applyBorder="1" applyAlignment="1" applyProtection="1">
      <alignment horizontal="left"/>
      <protection hidden="1"/>
    </xf>
    <xf numFmtId="0" fontId="6" fillId="0" borderId="1" xfId="0" applyFont="1" applyBorder="1" applyAlignment="1" applyProtection="1">
      <alignment horizontal="left"/>
      <protection hidden="1"/>
    </xf>
    <xf numFmtId="0" fontId="6" fillId="0" borderId="1" xfId="0" applyFont="1" applyBorder="1" applyProtection="1">
      <protection hidden="1"/>
    </xf>
    <xf numFmtId="3" fontId="6" fillId="0" borderId="1" xfId="0" applyNumberFormat="1" applyFont="1" applyBorder="1" applyProtection="1">
      <protection hidden="1"/>
    </xf>
    <xf numFmtId="0" fontId="6" fillId="0" borderId="0" xfId="0" applyFont="1" applyProtection="1">
      <protection hidden="1"/>
    </xf>
    <xf numFmtId="0" fontId="0" fillId="0" borderId="0" xfId="0" applyProtection="1">
      <protection hidden="1"/>
    </xf>
    <xf numFmtId="0" fontId="6" fillId="4" borderId="6" xfId="0" applyFont="1" applyFill="1" applyBorder="1" applyProtection="1">
      <protection hidden="1"/>
    </xf>
    <xf numFmtId="0" fontId="6" fillId="4" borderId="1" xfId="0" applyFont="1" applyFill="1" applyBorder="1" applyProtection="1">
      <protection hidden="1"/>
    </xf>
    <xf numFmtId="0" fontId="6" fillId="4" borderId="7" xfId="0" applyFont="1" applyFill="1" applyBorder="1" applyAlignment="1" applyProtection="1">
      <alignment horizontal="center"/>
      <protection hidden="1"/>
    </xf>
    <xf numFmtId="164" fontId="5" fillId="4" borderId="6" xfId="0" applyNumberFormat="1" applyFont="1" applyFill="1" applyBorder="1" applyAlignment="1" applyProtection="1">
      <protection hidden="1"/>
    </xf>
    <xf numFmtId="164" fontId="5" fillId="4" borderId="1" xfId="0" applyNumberFormat="1" applyFont="1" applyFill="1" applyBorder="1" applyAlignment="1" applyProtection="1">
      <protection hidden="1"/>
    </xf>
    <xf numFmtId="0" fontId="6" fillId="4" borderId="3" xfId="0" applyFont="1" applyFill="1" applyBorder="1" applyAlignment="1" applyProtection="1">
      <alignment horizontal="center"/>
      <protection hidden="1"/>
    </xf>
    <xf numFmtId="0" fontId="6" fillId="4" borderId="0" xfId="0" applyFont="1" applyFill="1" applyBorder="1" applyAlignment="1" applyProtection="1">
      <alignment horizontal="center"/>
      <protection hidden="1"/>
    </xf>
    <xf numFmtId="0" fontId="6" fillId="4" borderId="8" xfId="0" applyFont="1" applyFill="1" applyBorder="1" applyAlignment="1" applyProtection="1">
      <alignment horizontal="center"/>
      <protection hidden="1"/>
    </xf>
    <xf numFmtId="0" fontId="6" fillId="4" borderId="3" xfId="0" applyFont="1" applyFill="1" applyBorder="1" applyProtection="1">
      <protection hidden="1"/>
    </xf>
    <xf numFmtId="0" fontId="6" fillId="4" borderId="0" xfId="0" applyFont="1" applyFill="1" applyBorder="1" applyProtection="1">
      <protection hidden="1"/>
    </xf>
    <xf numFmtId="165" fontId="6" fillId="4" borderId="0" xfId="0" applyNumberFormat="1" applyFont="1" applyFill="1" applyBorder="1" applyAlignment="1" applyProtection="1">
      <alignment horizontal="center"/>
      <protection hidden="1"/>
    </xf>
    <xf numFmtId="0" fontId="6" fillId="0" borderId="9" xfId="3" applyFont="1" applyFill="1" applyBorder="1" applyAlignment="1" applyProtection="1">
      <alignment horizontal="center"/>
      <protection hidden="1"/>
    </xf>
    <xf numFmtId="2" fontId="6" fillId="0" borderId="10" xfId="3" applyNumberFormat="1" applyFont="1" applyFill="1" applyBorder="1" applyAlignment="1" applyProtection="1">
      <alignment horizontal="center"/>
      <protection hidden="1"/>
    </xf>
    <xf numFmtId="0" fontId="6" fillId="4" borderId="11" xfId="0" applyFont="1" applyFill="1" applyBorder="1" applyAlignment="1" applyProtection="1">
      <alignment horizontal="center"/>
      <protection hidden="1"/>
    </xf>
    <xf numFmtId="0" fontId="6" fillId="4" borderId="5" xfId="3" applyFont="1" applyFill="1" applyBorder="1" applyAlignment="1" applyProtection="1">
      <alignment horizontal="center"/>
      <protection hidden="1"/>
    </xf>
    <xf numFmtId="9" fontId="6" fillId="4" borderId="5" xfId="3" applyNumberFormat="1" applyFont="1" applyFill="1" applyBorder="1" applyAlignment="1" applyProtection="1">
      <alignment horizontal="center"/>
      <protection hidden="1"/>
    </xf>
    <xf numFmtId="166" fontId="6" fillId="4" borderId="5" xfId="0" applyNumberFormat="1" applyFont="1" applyFill="1" applyBorder="1" applyAlignment="1" applyProtection="1">
      <alignment horizontal="center" wrapText="1"/>
      <protection hidden="1"/>
    </xf>
    <xf numFmtId="0" fontId="6" fillId="0" borderId="10" xfId="3" applyFont="1" applyFill="1" applyBorder="1" applyAlignment="1" applyProtection="1">
      <alignment horizontal="center"/>
      <protection hidden="1"/>
    </xf>
    <xf numFmtId="39" fontId="6" fillId="0" borderId="10" xfId="3" applyNumberFormat="1" applyFont="1" applyFill="1" applyBorder="1" applyAlignment="1" applyProtection="1">
      <alignment horizontal="center"/>
      <protection hidden="1"/>
    </xf>
    <xf numFmtId="3" fontId="7" fillId="3" borderId="9" xfId="0" applyNumberFormat="1" applyFont="1" applyFill="1" applyBorder="1" applyAlignment="1" applyProtection="1">
      <alignment horizontal="center"/>
      <protection hidden="1"/>
    </xf>
    <xf numFmtId="3" fontId="7" fillId="6" borderId="2" xfId="0" applyNumberFormat="1" applyFont="1" applyFill="1" applyBorder="1" applyAlignment="1" applyProtection="1">
      <alignment horizontal="center"/>
      <protection hidden="1"/>
    </xf>
    <xf numFmtId="9" fontId="5" fillId="0" borderId="0" xfId="4" applyFont="1" applyFill="1" applyBorder="1" applyAlignment="1" applyProtection="1">
      <alignment horizontal="left"/>
      <protection hidden="1"/>
    </xf>
    <xf numFmtId="0" fontId="6" fillId="0" borderId="0" xfId="0" applyFont="1" applyFill="1" applyBorder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Border="1" applyAlignment="1" applyProtection="1">
      <alignment horizontal="center"/>
      <protection hidden="1"/>
    </xf>
    <xf numFmtId="0" fontId="6" fillId="0" borderId="5" xfId="0" applyFont="1" applyBorder="1" applyAlignment="1" applyProtection="1">
      <alignment horizontal="center"/>
      <protection hidden="1"/>
    </xf>
    <xf numFmtId="0" fontId="0" fillId="0" borderId="5" xfId="0" applyBorder="1" applyProtection="1">
      <protection hidden="1"/>
    </xf>
    <xf numFmtId="0" fontId="6" fillId="0" borderId="5" xfId="0" applyFont="1" applyBorder="1" applyProtection="1">
      <protection hidden="1"/>
    </xf>
    <xf numFmtId="3" fontId="6" fillId="0" borderId="0" xfId="0" applyNumberFormat="1" applyFont="1" applyFill="1" applyBorder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6" fillId="0" borderId="0" xfId="3" applyFont="1" applyFill="1" applyBorder="1" applyAlignment="1" applyProtection="1">
      <alignment horizontal="center"/>
      <protection hidden="1"/>
    </xf>
    <xf numFmtId="39" fontId="6" fillId="0" borderId="0" xfId="3" applyNumberFormat="1" applyFont="1" applyFill="1" applyBorder="1" applyAlignment="1" applyProtection="1">
      <alignment horizontal="center"/>
      <protection hidden="1"/>
    </xf>
    <xf numFmtId="3" fontId="7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2" fontId="6" fillId="0" borderId="0" xfId="3" applyNumberFormat="1" applyFont="1" applyFill="1" applyBorder="1" applyAlignment="1" applyProtection="1">
      <alignment horizontal="center"/>
      <protection hidden="1"/>
    </xf>
    <xf numFmtId="3" fontId="7" fillId="0" borderId="5" xfId="0" applyNumberFormat="1" applyFont="1" applyFill="1" applyBorder="1" applyAlignment="1" applyProtection="1">
      <alignment horizontal="center"/>
      <protection hidden="1"/>
    </xf>
    <xf numFmtId="0" fontId="0" fillId="0" borderId="5" xfId="0" applyFill="1" applyBorder="1" applyProtection="1">
      <protection hidden="1"/>
    </xf>
    <xf numFmtId="0" fontId="6" fillId="0" borderId="5" xfId="3" applyFont="1" applyFill="1" applyBorder="1" applyAlignment="1" applyProtection="1">
      <alignment horizontal="center"/>
      <protection hidden="1"/>
    </xf>
    <xf numFmtId="2" fontId="6" fillId="0" borderId="5" xfId="3" applyNumberFormat="1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6" fillId="0" borderId="0" xfId="0" applyFont="1" applyFill="1" applyProtection="1">
      <protection hidden="1"/>
    </xf>
    <xf numFmtId="0" fontId="6" fillId="0" borderId="0" xfId="0" applyFont="1" applyFill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Protection="1">
      <protection hidden="1"/>
    </xf>
    <xf numFmtId="0" fontId="0" fillId="0" borderId="0" xfId="0" applyBorder="1" applyProtection="1">
      <protection hidden="1"/>
    </xf>
    <xf numFmtId="0" fontId="6" fillId="0" borderId="0" xfId="0" applyFont="1" applyBorder="1" applyAlignment="1"/>
    <xf numFmtId="0" fontId="18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4" borderId="4" xfId="0" applyFont="1" applyFill="1" applyBorder="1" applyAlignment="1" applyProtection="1">
      <alignment horizontal="center" vertical="center" wrapText="1"/>
      <protection hidden="1"/>
    </xf>
    <xf numFmtId="0" fontId="6" fillId="4" borderId="14" xfId="0" applyFont="1" applyFill="1" applyBorder="1" applyAlignment="1" applyProtection="1">
      <alignment horizontal="center" vertical="center" wrapText="1"/>
      <protection hidden="1"/>
    </xf>
    <xf numFmtId="0" fontId="6" fillId="4" borderId="15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Alignment="1">
      <alignment horizontal="center" vertical="center"/>
    </xf>
    <xf numFmtId="0" fontId="12" fillId="0" borderId="33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3" fontId="7" fillId="3" borderId="9" xfId="0" applyNumberFormat="1" applyFont="1" applyFill="1" applyBorder="1" applyAlignment="1" applyProtection="1">
      <alignment horizontal="center"/>
      <protection hidden="1"/>
    </xf>
    <xf numFmtId="3" fontId="7" fillId="3" borderId="22" xfId="0" applyNumberFormat="1" applyFont="1" applyFill="1" applyBorder="1" applyAlignment="1" applyProtection="1">
      <alignment horizontal="center"/>
      <protection hidden="1"/>
    </xf>
    <xf numFmtId="0" fontId="7" fillId="0" borderId="34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12" fillId="0" borderId="4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3" fontId="7" fillId="3" borderId="11" xfId="0" applyNumberFormat="1" applyFont="1" applyFill="1" applyBorder="1" applyAlignment="1" applyProtection="1">
      <alignment horizontal="center"/>
      <protection hidden="1"/>
    </xf>
    <xf numFmtId="3" fontId="7" fillId="3" borderId="20" xfId="0" applyNumberFormat="1" applyFont="1" applyFill="1" applyBorder="1" applyAlignment="1" applyProtection="1">
      <alignment horizontal="center"/>
      <protection hidden="1"/>
    </xf>
    <xf numFmtId="0" fontId="18" fillId="0" borderId="0" xfId="0" applyFont="1" applyBorder="1" applyAlignment="1">
      <alignment horizontal="left" wrapText="1"/>
    </xf>
    <xf numFmtId="0" fontId="21" fillId="7" borderId="16" xfId="0" applyFont="1" applyFill="1" applyBorder="1" applyAlignment="1" applyProtection="1">
      <alignment horizontal="center" vertical="center" wrapText="1"/>
      <protection locked="0"/>
    </xf>
    <xf numFmtId="0" fontId="21" fillId="7" borderId="17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3" fontId="7" fillId="3" borderId="25" xfId="0" applyNumberFormat="1" applyFont="1" applyFill="1" applyBorder="1" applyAlignment="1" applyProtection="1">
      <alignment horizontal="center"/>
      <protection hidden="1"/>
    </xf>
    <xf numFmtId="3" fontId="7" fillId="3" borderId="26" xfId="0" applyNumberFormat="1" applyFont="1" applyFill="1" applyBorder="1" applyAlignment="1" applyProtection="1">
      <alignment horizontal="center"/>
      <protection hidden="1"/>
    </xf>
    <xf numFmtId="0" fontId="7" fillId="0" borderId="36" xfId="0" applyFont="1" applyFill="1" applyBorder="1" applyAlignment="1">
      <alignment horizontal="center"/>
    </xf>
    <xf numFmtId="167" fontId="5" fillId="0" borderId="0" xfId="0" applyNumberFormat="1" applyFont="1" applyAlignment="1">
      <alignment horizontal="left"/>
    </xf>
  </cellXfs>
  <cellStyles count="211">
    <cellStyle name="Comma 2" xfId="1" xr:uid="{00000000-0005-0000-0000-000000000000}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Normal" xfId="0" builtinId="0"/>
    <cellStyle name="Normal 2" xfId="2" xr:uid="{00000000-0005-0000-0000-0000CC000000}"/>
    <cellStyle name="Normal 3" xfId="6" xr:uid="{00000000-0005-0000-0000-0000CD000000}"/>
    <cellStyle name="Normal 4" xfId="7" xr:uid="{00000000-0005-0000-0000-0000CE000000}"/>
    <cellStyle name="Normal 4 2" xfId="210" xr:uid="{C7EB9CE3-DB2D-4366-BF37-3C512FF7EE01}"/>
    <cellStyle name="Normal_coop sale price analysis v2" xfId="3" xr:uid="{00000000-0005-0000-0000-0000CF000000}"/>
    <cellStyle name="Percent" xfId="4" builtinId="5"/>
    <cellStyle name="Percent 2" xfId="5" xr:uid="{00000000-0005-0000-0000-0000D1000000}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200"/>
  <sheetViews>
    <sheetView showGridLines="0" tabSelected="1" zoomScale="85" zoomScaleNormal="85" zoomScaleSheetLayoutView="85" zoomScalePageLayoutView="160" workbookViewId="0">
      <selection activeCell="A6" sqref="A6"/>
    </sheetView>
  </sheetViews>
  <sheetFormatPr defaultColWidth="8.6640625" defaultRowHeight="15" x14ac:dyDescent="0.2"/>
  <cols>
    <col min="1" max="1" width="12.33203125" style="8" customWidth="1"/>
    <col min="2" max="4" width="11.44140625" style="8" customWidth="1"/>
    <col min="5" max="5" width="12.6640625" style="8" customWidth="1"/>
    <col min="6" max="6" width="12.33203125" style="8" customWidth="1"/>
    <col min="7" max="7" width="11.44140625" style="14" customWidth="1"/>
    <col min="8" max="8" width="11.109375" style="14" customWidth="1"/>
    <col min="9" max="9" width="1.109375" style="14" customWidth="1"/>
    <col min="10" max="10" width="11.44140625" style="14" customWidth="1"/>
    <col min="11" max="13" width="11.44140625" style="8" customWidth="1"/>
    <col min="14" max="14" width="10.5546875" style="8" customWidth="1"/>
    <col min="15" max="15" width="10.33203125" style="8" customWidth="1"/>
    <col min="16" max="16" width="9.6640625" style="8" customWidth="1"/>
    <col min="17" max="18" width="11.6640625" style="8" customWidth="1"/>
    <col min="19" max="19" width="10.5546875" style="8" customWidth="1"/>
    <col min="20" max="20" width="10.5546875" style="8" hidden="1" customWidth="1"/>
    <col min="21" max="21" width="10.33203125" style="8" customWidth="1"/>
    <col min="22" max="22" width="3.88671875" style="8" customWidth="1"/>
    <col min="23" max="16384" width="8.6640625" style="8"/>
  </cols>
  <sheetData>
    <row r="1" spans="1:19" ht="39" customHeight="1" x14ac:dyDescent="0.2">
      <c r="A1" s="131" t="s">
        <v>44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3" spans="1:19" s="3" customFormat="1" ht="15.75" x14ac:dyDescent="0.25">
      <c r="A3" s="1" t="s">
        <v>41</v>
      </c>
      <c r="B3" s="2"/>
      <c r="C3" s="2"/>
      <c r="F3" s="4"/>
      <c r="G3" s="5"/>
      <c r="H3" s="5"/>
      <c r="I3" s="5"/>
    </row>
    <row r="4" spans="1:19" s="3" customFormat="1" ht="15.75" x14ac:dyDescent="0.25">
      <c r="A4" s="1"/>
      <c r="B4" s="2"/>
    </row>
    <row r="5" spans="1:19" s="3" customFormat="1" ht="15" customHeight="1" x14ac:dyDescent="0.25">
      <c r="A5" s="34">
        <f>81000*2</f>
        <v>162000</v>
      </c>
      <c r="B5" s="127" t="s">
        <v>46</v>
      </c>
    </row>
    <row r="6" spans="1:19" s="3" customFormat="1" ht="15" customHeight="1" x14ac:dyDescent="0.25">
      <c r="A6" s="34">
        <v>2780</v>
      </c>
      <c r="B6" s="32" t="s">
        <v>42</v>
      </c>
    </row>
    <row r="7" spans="1:19" s="3" customFormat="1" ht="15" customHeight="1" x14ac:dyDescent="0.25">
      <c r="A7" s="35">
        <v>0.3</v>
      </c>
      <c r="B7" s="3" t="s">
        <v>3</v>
      </c>
    </row>
    <row r="8" spans="1:19" s="3" customFormat="1" x14ac:dyDescent="0.2"/>
    <row r="9" spans="1:19" s="125" customFormat="1" ht="60" customHeight="1" x14ac:dyDescent="0.25">
      <c r="A9" s="144" t="s">
        <v>45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9" s="125" customFormat="1" ht="18" x14ac:dyDescent="0.25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</row>
    <row r="11" spans="1:19" s="3" customFormat="1" ht="18" x14ac:dyDescent="0.25">
      <c r="A11" s="52" t="s">
        <v>40</v>
      </c>
      <c r="C11" s="41"/>
      <c r="D11" s="41"/>
      <c r="E11" s="41"/>
      <c r="F11" s="41"/>
      <c r="G11" s="41"/>
      <c r="H11" s="41"/>
      <c r="I11" s="41"/>
      <c r="J11" s="41"/>
      <c r="K11" s="41"/>
    </row>
    <row r="12" spans="1:19" s="3" customFormat="1" x14ac:dyDescent="0.2">
      <c r="C12" s="36"/>
    </row>
    <row r="13" spans="1:19" s="3" customFormat="1" ht="15.75" x14ac:dyDescent="0.25">
      <c r="B13" s="51" t="s">
        <v>47</v>
      </c>
      <c r="C13" s="36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9" s="3" customFormat="1" ht="6.95" customHeight="1" thickBot="1" x14ac:dyDescent="0.25">
      <c r="C14" s="36"/>
    </row>
    <row r="15" spans="1:19" s="3" customFormat="1" ht="16.5" thickBot="1" x14ac:dyDescent="0.3">
      <c r="B15" s="132" t="s">
        <v>18</v>
      </c>
      <c r="C15" s="147" t="s">
        <v>22</v>
      </c>
      <c r="D15" s="148"/>
      <c r="E15" s="147" t="s">
        <v>21</v>
      </c>
      <c r="F15" s="151"/>
      <c r="G15" s="151"/>
      <c r="H15" s="151"/>
      <c r="I15" s="148"/>
      <c r="J15" s="137" t="s">
        <v>25</v>
      </c>
      <c r="K15" s="138"/>
      <c r="L15" s="138"/>
      <c r="M15" s="139"/>
      <c r="N15" s="132" t="s">
        <v>31</v>
      </c>
    </row>
    <row r="16" spans="1:19" s="3" customFormat="1" ht="77.25" customHeight="1" thickBot="1" x14ac:dyDescent="0.25">
      <c r="B16" s="133"/>
      <c r="C16" s="46" t="s">
        <v>23</v>
      </c>
      <c r="D16" s="47" t="s">
        <v>24</v>
      </c>
      <c r="E16" s="48" t="s">
        <v>37</v>
      </c>
      <c r="F16" s="49" t="s">
        <v>38</v>
      </c>
      <c r="G16" s="49" t="s">
        <v>19</v>
      </c>
      <c r="H16" s="140" t="s">
        <v>20</v>
      </c>
      <c r="I16" s="141"/>
      <c r="J16" s="46" t="s">
        <v>26</v>
      </c>
      <c r="K16" s="49" t="s">
        <v>27</v>
      </c>
      <c r="L16" s="50" t="s">
        <v>28</v>
      </c>
      <c r="M16" s="47" t="s">
        <v>29</v>
      </c>
      <c r="N16" s="134"/>
      <c r="Q16"/>
      <c r="R16"/>
      <c r="S16"/>
    </row>
    <row r="17" spans="1:22" s="3" customFormat="1" ht="33.75" customHeight="1" thickBot="1" x14ac:dyDescent="0.25">
      <c r="A17" s="58" t="s">
        <v>30</v>
      </c>
      <c r="B17" s="59" t="s">
        <v>48</v>
      </c>
      <c r="C17" s="59" t="s">
        <v>43</v>
      </c>
      <c r="D17" s="59" t="s">
        <v>43</v>
      </c>
      <c r="E17" s="59" t="s">
        <v>43</v>
      </c>
      <c r="F17" s="59" t="s">
        <v>43</v>
      </c>
      <c r="G17" s="59" t="s">
        <v>43</v>
      </c>
      <c r="H17" s="145" t="s">
        <v>43</v>
      </c>
      <c r="I17" s="146"/>
      <c r="J17" s="59" t="s">
        <v>43</v>
      </c>
      <c r="K17" s="59" t="s">
        <v>43</v>
      </c>
      <c r="L17" s="59" t="s">
        <v>43</v>
      </c>
      <c r="M17" s="59" t="s">
        <v>43</v>
      </c>
      <c r="N17" s="133"/>
      <c r="Q17"/>
      <c r="R17"/>
      <c r="S17"/>
    </row>
    <row r="18" spans="1:22" s="3" customFormat="1" ht="15" customHeight="1" x14ac:dyDescent="0.25">
      <c r="A18" s="7" t="s">
        <v>1</v>
      </c>
      <c r="B18" s="60">
        <f>IF($B$17="Tenant Pays", 96, 0)</f>
        <v>96</v>
      </c>
      <c r="C18" s="60">
        <f>IF($C$17="Tenant Pays", 15, 0)</f>
        <v>0</v>
      </c>
      <c r="D18" s="61">
        <f>IF($D$17="Tenant Pays", 26, 0)</f>
        <v>0</v>
      </c>
      <c r="E18" s="60">
        <f>IF($E$17="Tenant Pays", 31,0)</f>
        <v>0</v>
      </c>
      <c r="F18" s="62">
        <f>IF($F$17="Tenant Pays", 54, 0)</f>
        <v>0</v>
      </c>
      <c r="G18" s="62">
        <f>IF($G$17="Tenant Pays", 65,0)</f>
        <v>0</v>
      </c>
      <c r="H18" s="142">
        <f>IF($H$17="Tenant Pays", 94,0)</f>
        <v>0</v>
      </c>
      <c r="I18" s="143"/>
      <c r="J18" s="63">
        <f>IF($J$17="Tenant Pays", 17,0)</f>
        <v>0</v>
      </c>
      <c r="K18" s="62">
        <f>IF($K$17="Tenant Pays", 42,0)</f>
        <v>0</v>
      </c>
      <c r="L18" s="62">
        <f>IF($L$17="Tenant Pays", 20,0)</f>
        <v>0</v>
      </c>
      <c r="M18" s="61">
        <f>IF($M$17="Tenant Pays", 29, 0)</f>
        <v>0</v>
      </c>
      <c r="N18" s="31">
        <f t="shared" ref="N18:N23" si="0">SUM(B18:M18)</f>
        <v>96</v>
      </c>
      <c r="Q18"/>
      <c r="R18"/>
      <c r="S18"/>
    </row>
    <row r="19" spans="1:22" s="3" customFormat="1" ht="15" customHeight="1" x14ac:dyDescent="0.25">
      <c r="A19" s="7" t="s">
        <v>2</v>
      </c>
      <c r="B19" s="60">
        <f>IF($B$17="Tenant Pays", 109, 0)</f>
        <v>109</v>
      </c>
      <c r="C19" s="64">
        <f>IF($C$17="Tenant Pays", 18, 0)</f>
        <v>0</v>
      </c>
      <c r="D19" s="65">
        <f>IF($D$17="Tenant Pays", 29, 0)</f>
        <v>0</v>
      </c>
      <c r="E19" s="64">
        <f>IF($E$17="Tenant Pays", 37,0)</f>
        <v>0</v>
      </c>
      <c r="F19" s="66">
        <f>IF($F$17="Tenant Pays", 63, 0)</f>
        <v>0</v>
      </c>
      <c r="G19" s="66">
        <f>IF($G$17="Tenant Pays", 76,0)</f>
        <v>0</v>
      </c>
      <c r="H19" s="135">
        <f>IF($H$17="Tenant Pays", 111,0)</f>
        <v>0</v>
      </c>
      <c r="I19" s="136"/>
      <c r="J19" s="67">
        <f>IF($J$17="Tenant Pays", 34,0)</f>
        <v>0</v>
      </c>
      <c r="K19" s="66">
        <f>IF($K$17="Tenant Pays", 84,0)</f>
        <v>0</v>
      </c>
      <c r="L19" s="66">
        <f>IF($L$17="Tenant Pays", 23,0)</f>
        <v>0</v>
      </c>
      <c r="M19" s="65">
        <f>IF($M$17="Tenant Pays", 34, 0)</f>
        <v>0</v>
      </c>
      <c r="N19" s="31">
        <f>SUM(B19:M19)</f>
        <v>109</v>
      </c>
      <c r="Q19"/>
      <c r="R19"/>
      <c r="S19"/>
    </row>
    <row r="20" spans="1:22" s="3" customFormat="1" ht="15" customHeight="1" x14ac:dyDescent="0.25">
      <c r="A20" s="7" t="s">
        <v>4</v>
      </c>
      <c r="B20" s="60">
        <f>IF($B$17="Tenant Pays", 144, 0)</f>
        <v>144</v>
      </c>
      <c r="C20" s="64">
        <f>IF($C$17="Tenant Pays", 26, 0)</f>
        <v>0</v>
      </c>
      <c r="D20" s="65">
        <f>IF($D$17="Tenant Pays", 33, 0)</f>
        <v>0</v>
      </c>
      <c r="E20" s="64">
        <f>IF($E$17="Tenant Pays", 50,0)</f>
        <v>0</v>
      </c>
      <c r="F20" s="66">
        <f>IF($F$17="Tenant Pays", 84, 0)</f>
        <v>0</v>
      </c>
      <c r="G20" s="66">
        <f>IF($G$17="Tenant Pays", 88,0)</f>
        <v>0</v>
      </c>
      <c r="H20" s="135">
        <f>IF($H$17="Tenant Pays", 127,0)</f>
        <v>0</v>
      </c>
      <c r="I20" s="136"/>
      <c r="J20" s="67">
        <f>IF($J$17="Tenant Pays", 69,0)</f>
        <v>0</v>
      </c>
      <c r="K20" s="66">
        <f>IF($K$17="Tenant Pays", 169,0)</f>
        <v>0</v>
      </c>
      <c r="L20" s="66">
        <f>IF($L$17="Tenant Pays", 33,0)</f>
        <v>0</v>
      </c>
      <c r="M20" s="65">
        <f>IF($M$17="Tenant Pays", 49, 0)</f>
        <v>0</v>
      </c>
      <c r="N20" s="31">
        <f t="shared" si="0"/>
        <v>144</v>
      </c>
      <c r="Q20"/>
      <c r="R20"/>
      <c r="S20"/>
    </row>
    <row r="21" spans="1:22" s="3" customFormat="1" ht="15" customHeight="1" x14ac:dyDescent="0.25">
      <c r="A21" s="7" t="s">
        <v>5</v>
      </c>
      <c r="B21" s="60">
        <f>IF($B$17="Tenant Pays", 178, 0)</f>
        <v>178</v>
      </c>
      <c r="C21" s="64">
        <f>IF($C$17="Tenant Pays", 34, 0)</f>
        <v>0</v>
      </c>
      <c r="D21" s="65">
        <f>IF($D$17="Tenant Pays", 37, 0)</f>
        <v>0</v>
      </c>
      <c r="E21" s="64">
        <f>IF($E$17="Tenant Pays", 64,0)</f>
        <v>0</v>
      </c>
      <c r="F21" s="66">
        <f>IF($F$17="Tenant Pays", 105, 0)</f>
        <v>0</v>
      </c>
      <c r="G21" s="66">
        <f>IF($G$17="Tenant Pays", 98,0)</f>
        <v>0</v>
      </c>
      <c r="H21" s="135">
        <f>IF($H$17="Tenant Pays", 142,0)</f>
        <v>0</v>
      </c>
      <c r="I21" s="136"/>
      <c r="J21" s="67">
        <f>IF($J$17="Tenant Pays", 86,0)</f>
        <v>0</v>
      </c>
      <c r="K21" s="66">
        <f>IF($K$17="Tenant Pays", 211,0)</f>
        <v>0</v>
      </c>
      <c r="L21" s="66">
        <f>IF($L$17="Tenant Pays", 44,0)</f>
        <v>0</v>
      </c>
      <c r="M21" s="65">
        <f>IF($M$17="Tenant Pays", 64, 0)</f>
        <v>0</v>
      </c>
      <c r="N21" s="31">
        <f t="shared" si="0"/>
        <v>178</v>
      </c>
      <c r="Q21"/>
      <c r="R21"/>
      <c r="S21"/>
    </row>
    <row r="22" spans="1:22" s="3" customFormat="1" ht="15" customHeight="1" x14ac:dyDescent="0.25">
      <c r="A22" s="7" t="s">
        <v>6</v>
      </c>
      <c r="B22" s="60">
        <f>IF($B$17="Tenant Pays", 213, 0)</f>
        <v>213</v>
      </c>
      <c r="C22" s="64">
        <f>IF($C$17="Tenant Pays", 42, 0)</f>
        <v>0</v>
      </c>
      <c r="D22" s="65">
        <f>IF($D$17="Tenant Pays", 41, 0)</f>
        <v>0</v>
      </c>
      <c r="E22" s="64">
        <f>IF($E$17="Tenant Pays", 76,0)</f>
        <v>0</v>
      </c>
      <c r="F22" s="66">
        <f>IF($F$17="Tenant Pays", 126, 0)</f>
        <v>0</v>
      </c>
      <c r="G22" s="66">
        <f>IF($G$17="Tenant Pays", 109,0)</f>
        <v>0</v>
      </c>
      <c r="H22" s="135">
        <f>IF($H$17="Tenant Pays", 158,0)</f>
        <v>0</v>
      </c>
      <c r="I22" s="136"/>
      <c r="J22" s="67">
        <f>IF($J$17="Tenant Pays", 104,0)</f>
        <v>0</v>
      </c>
      <c r="K22" s="66">
        <f>IF($K$17="Tenant Pays", 254,0)</f>
        <v>0</v>
      </c>
      <c r="L22" s="66">
        <f>IF($L$17="Tenant Pays", 54,0)</f>
        <v>0</v>
      </c>
      <c r="M22" s="65">
        <f>IF($M$17="Tenant Pays", 79, 0)</f>
        <v>0</v>
      </c>
      <c r="N22" s="31">
        <f t="shared" si="0"/>
        <v>213</v>
      </c>
      <c r="Q22"/>
      <c r="R22"/>
      <c r="S22"/>
    </row>
    <row r="23" spans="1:22" s="3" customFormat="1" ht="15" customHeight="1" thickBot="1" x14ac:dyDescent="0.3">
      <c r="A23" s="7" t="s">
        <v>7</v>
      </c>
      <c r="B23" s="60">
        <f>IF($B$17="Tenant Pays", 248, 0)</f>
        <v>248</v>
      </c>
      <c r="C23" s="68">
        <f>IF($C$17="Tenant Pays", 50, 0)</f>
        <v>0</v>
      </c>
      <c r="D23" s="69">
        <f>IF($D$17="Tenant Pays", 45, 0)</f>
        <v>0</v>
      </c>
      <c r="E23" s="70">
        <f>IF($E$17="Tenant Pays", 87,0)</f>
        <v>0</v>
      </c>
      <c r="F23" s="71">
        <f>IF($F$17="Tenant Pays", 147, 0)</f>
        <v>0</v>
      </c>
      <c r="G23" s="71">
        <f>IF($G$17="Tenant Pays", 119,0)</f>
        <v>0</v>
      </c>
      <c r="H23" s="149">
        <f>IF($H$17="Tenant Pays", 174,0)</f>
        <v>0</v>
      </c>
      <c r="I23" s="150"/>
      <c r="J23" s="68">
        <f>IF($J$17="Tenant Pays", 121,0)</f>
        <v>0</v>
      </c>
      <c r="K23" s="71">
        <f>IF($K$17="Tenant Pays", 296,0)</f>
        <v>0</v>
      </c>
      <c r="L23" s="71">
        <f>IF($L$17="Tenant Pays", 64,0)</f>
        <v>0</v>
      </c>
      <c r="M23" s="69">
        <f>IF($M$17="Tenant Pays", 93, 0)</f>
        <v>0</v>
      </c>
      <c r="N23" s="31">
        <f t="shared" si="0"/>
        <v>248</v>
      </c>
      <c r="Q23"/>
      <c r="R23"/>
      <c r="S23"/>
    </row>
    <row r="24" spans="1:22" s="3" customFormat="1" ht="14.25" customHeight="1" x14ac:dyDescent="0.2">
      <c r="H24" s="37"/>
      <c r="I24" s="37"/>
      <c r="J24" s="37"/>
      <c r="L24"/>
      <c r="M24"/>
      <c r="N24"/>
      <c r="Q24"/>
      <c r="R24"/>
      <c r="S24"/>
    </row>
    <row r="25" spans="1:22" s="3" customFormat="1" ht="15.75" x14ac:dyDescent="0.25">
      <c r="A25" s="40" t="s">
        <v>8</v>
      </c>
      <c r="B25" s="33">
        <v>45658</v>
      </c>
      <c r="E25" s="26"/>
      <c r="F25" s="4"/>
      <c r="K25" s="43"/>
      <c r="U25"/>
      <c r="V25"/>
    </row>
    <row r="26" spans="1:22" s="3" customFormat="1" ht="11.1" customHeight="1" x14ac:dyDescent="0.25">
      <c r="C26" s="1"/>
      <c r="D26" s="2"/>
      <c r="E26" s="2"/>
      <c r="G26" s="4"/>
      <c r="J26" s="4"/>
      <c r="N26"/>
      <c r="O26"/>
      <c r="P26"/>
      <c r="Q26"/>
      <c r="R26"/>
      <c r="S26"/>
      <c r="T26"/>
    </row>
    <row r="27" spans="1:22" s="3" customFormat="1" ht="17.100000000000001" customHeight="1" x14ac:dyDescent="0.25">
      <c r="B27" s="44" t="s">
        <v>34</v>
      </c>
      <c r="C27" s="1"/>
      <c r="D27" s="2"/>
      <c r="E27" s="2"/>
      <c r="G27" s="4"/>
      <c r="J27" s="4"/>
      <c r="N27"/>
      <c r="O27"/>
      <c r="P27"/>
      <c r="Q27"/>
      <c r="R27"/>
      <c r="S27"/>
      <c r="T27"/>
    </row>
    <row r="28" spans="1:22" s="3" customFormat="1" ht="15" customHeight="1" x14ac:dyDescent="0.25">
      <c r="B28" s="45" t="s">
        <v>36</v>
      </c>
      <c r="C28" s="1"/>
      <c r="D28" s="2"/>
      <c r="E28" s="2"/>
      <c r="G28" s="4"/>
      <c r="J28" s="4"/>
      <c r="N28"/>
      <c r="O28"/>
      <c r="P28"/>
      <c r="Q28"/>
      <c r="R28"/>
      <c r="S28"/>
      <c r="T28"/>
    </row>
    <row r="29" spans="1:22" s="3" customFormat="1" ht="15" customHeight="1" x14ac:dyDescent="0.25">
      <c r="B29" s="45" t="s">
        <v>35</v>
      </c>
      <c r="C29" s="1"/>
      <c r="D29" s="2"/>
      <c r="E29" s="2"/>
      <c r="G29" s="4"/>
      <c r="J29" s="4"/>
      <c r="N29" s="20"/>
      <c r="O29"/>
      <c r="P29"/>
      <c r="Q29"/>
      <c r="R29"/>
      <c r="S29"/>
      <c r="T29"/>
    </row>
    <row r="30" spans="1:22" s="3" customFormat="1" ht="17.100000000000001" customHeight="1" x14ac:dyDescent="0.25">
      <c r="C30" s="1"/>
      <c r="D30" s="2"/>
      <c r="E30" s="2"/>
      <c r="G30" s="4"/>
      <c r="J30" s="4"/>
      <c r="N30"/>
      <c r="O30"/>
      <c r="P30"/>
      <c r="Q30"/>
      <c r="R30"/>
      <c r="S30"/>
      <c r="T30"/>
    </row>
    <row r="31" spans="1:22" s="3" customFormat="1" ht="17.100000000000001" customHeight="1" x14ac:dyDescent="0.25">
      <c r="A31" s="42" t="s">
        <v>39</v>
      </c>
      <c r="C31" s="1"/>
      <c r="D31" s="2"/>
      <c r="E31" s="2"/>
      <c r="G31" s="4"/>
      <c r="J31" s="4"/>
      <c r="N31"/>
      <c r="O31"/>
      <c r="P31"/>
      <c r="Q31"/>
      <c r="R31"/>
      <c r="S31"/>
      <c r="T31"/>
    </row>
    <row r="32" spans="1:22" s="3" customFormat="1" ht="17.100000000000001" customHeight="1" x14ac:dyDescent="0.25">
      <c r="C32" s="1"/>
      <c r="D32" s="2"/>
      <c r="E32" s="2"/>
      <c r="G32" s="4"/>
      <c r="J32" s="4"/>
      <c r="N32"/>
      <c r="O32"/>
      <c r="P32"/>
      <c r="Q32"/>
      <c r="R32"/>
      <c r="S32"/>
      <c r="T32"/>
    </row>
    <row r="33" spans="3:29" ht="15.75" x14ac:dyDescent="0.25">
      <c r="C33" s="72">
        <v>0.3</v>
      </c>
      <c r="D33" s="73" t="s">
        <v>9</v>
      </c>
      <c r="E33" s="66">
        <f>AMI_Table!$E$13*'AMI &amp; Rent'!$C33</f>
        <v>48600</v>
      </c>
      <c r="F33" s="74" t="s">
        <v>0</v>
      </c>
      <c r="G33" s="75"/>
      <c r="H33" s="76"/>
      <c r="I33" s="76"/>
      <c r="J33" s="76"/>
      <c r="K33" s="76"/>
      <c r="L33" s="76"/>
      <c r="M33" s="6"/>
      <c r="N33"/>
      <c r="O33"/>
      <c r="P33"/>
      <c r="Q33"/>
      <c r="R33"/>
      <c r="S33"/>
      <c r="T33"/>
      <c r="U33" s="3"/>
      <c r="V33" s="3"/>
    </row>
    <row r="34" spans="3:29" x14ac:dyDescent="0.2">
      <c r="C34" s="77"/>
      <c r="D34" s="77"/>
      <c r="E34" s="77"/>
      <c r="F34" s="77"/>
      <c r="G34" s="78"/>
      <c r="H34" s="78"/>
      <c r="I34" s="78"/>
      <c r="J34" s="79"/>
      <c r="K34" s="80"/>
      <c r="L34" s="81" t="s">
        <v>10</v>
      </c>
      <c r="N34"/>
      <c r="O34"/>
      <c r="P34"/>
      <c r="Q34"/>
      <c r="R34"/>
      <c r="S34"/>
      <c r="T34"/>
      <c r="V34" s="3"/>
    </row>
    <row r="35" spans="3:29" ht="14.25" customHeight="1" x14ac:dyDescent="0.25">
      <c r="C35" s="82"/>
      <c r="D35" s="83"/>
      <c r="E35" s="83"/>
      <c r="F35" s="83"/>
      <c r="G35" s="128" t="s">
        <v>32</v>
      </c>
      <c r="H35" s="128" t="s">
        <v>33</v>
      </c>
      <c r="I35" s="78"/>
      <c r="J35" s="84" t="s">
        <v>11</v>
      </c>
      <c r="K35" s="85" t="s">
        <v>12</v>
      </c>
      <c r="L35" s="86" t="s">
        <v>13</v>
      </c>
      <c r="M35" s="9"/>
      <c r="N35"/>
      <c r="O35"/>
      <c r="P35"/>
      <c r="Q35"/>
      <c r="R35"/>
      <c r="S35"/>
      <c r="T35"/>
      <c r="V35" s="3"/>
    </row>
    <row r="36" spans="3:29" ht="30" customHeight="1" x14ac:dyDescent="0.25">
      <c r="C36" s="87"/>
      <c r="D36" s="88"/>
      <c r="E36" s="88"/>
      <c r="F36" s="89" t="s">
        <v>10</v>
      </c>
      <c r="G36" s="129"/>
      <c r="H36" s="129"/>
      <c r="I36" s="78"/>
      <c r="J36" s="90">
        <f t="shared" ref="J36:J41" si="1">J37-1</f>
        <v>1</v>
      </c>
      <c r="K36" s="91">
        <v>0.7</v>
      </c>
      <c r="L36" s="66">
        <f>AMI_Table!$B$13*'AMI &amp; Rent'!$C33</f>
        <v>34020</v>
      </c>
      <c r="M36" s="10"/>
      <c r="N36"/>
      <c r="O36"/>
      <c r="P36"/>
      <c r="Q36"/>
      <c r="R36"/>
      <c r="S36"/>
      <c r="T36"/>
      <c r="V36" s="27"/>
    </row>
    <row r="37" spans="3:29" ht="18.95" customHeight="1" x14ac:dyDescent="0.25">
      <c r="C37" s="92"/>
      <c r="D37" s="93" t="s">
        <v>14</v>
      </c>
      <c r="E37" s="94" t="s">
        <v>15</v>
      </c>
      <c r="F37" s="95" t="s">
        <v>13</v>
      </c>
      <c r="G37" s="130"/>
      <c r="H37" s="130"/>
      <c r="I37" s="78"/>
      <c r="J37" s="90">
        <f t="shared" si="1"/>
        <v>2</v>
      </c>
      <c r="K37" s="91">
        <f>K36+0.1</f>
        <v>0.79999999999999993</v>
      </c>
      <c r="L37" s="66">
        <f>AMI_Table!$C$13*'AMI &amp; Rent'!$C33</f>
        <v>38880</v>
      </c>
      <c r="M37" s="11"/>
      <c r="N37"/>
      <c r="O37"/>
      <c r="P37"/>
      <c r="Q37"/>
      <c r="R37"/>
      <c r="S37"/>
      <c r="T37"/>
      <c r="V37" s="27"/>
    </row>
    <row r="38" spans="3:29" ht="15.75" x14ac:dyDescent="0.25">
      <c r="C38" s="90" t="s">
        <v>1</v>
      </c>
      <c r="D38" s="96">
        <v>1</v>
      </c>
      <c r="E38" s="97">
        <v>0.7</v>
      </c>
      <c r="F38" s="98">
        <f>AMI_Table!$B$13*'AMI &amp; Rent'!$C33</f>
        <v>34020</v>
      </c>
      <c r="G38" s="66">
        <f t="shared" ref="G38:G43" si="2">ROUNDDOWN(F38*$A$7/12,0)</f>
        <v>850</v>
      </c>
      <c r="H38" s="99">
        <f>G38-$N$18</f>
        <v>754</v>
      </c>
      <c r="I38" s="78"/>
      <c r="J38" s="90">
        <f t="shared" si="1"/>
        <v>3</v>
      </c>
      <c r="K38" s="91">
        <f>K37+0.1</f>
        <v>0.89999999999999991</v>
      </c>
      <c r="L38" s="66">
        <f>AMI_Table!$D$13*'AMI &amp; Rent'!$C33</f>
        <v>43740</v>
      </c>
      <c r="M38" s="12"/>
      <c r="N38"/>
      <c r="O38"/>
      <c r="P38"/>
      <c r="Q38"/>
      <c r="R38"/>
      <c r="S38"/>
      <c r="T38"/>
      <c r="V38" s="27"/>
    </row>
    <row r="39" spans="3:29" ht="15.75" x14ac:dyDescent="0.25">
      <c r="C39" s="90" t="s">
        <v>2</v>
      </c>
      <c r="D39" s="96">
        <v>1.5</v>
      </c>
      <c r="E39" s="97">
        <v>0.75</v>
      </c>
      <c r="F39" s="98">
        <f>AVERAGE(L36:L37)</f>
        <v>36450</v>
      </c>
      <c r="G39" s="66">
        <f t="shared" si="2"/>
        <v>911</v>
      </c>
      <c r="H39" s="99">
        <f>G39-$N$19</f>
        <v>802</v>
      </c>
      <c r="I39" s="78"/>
      <c r="J39" s="90">
        <f t="shared" si="1"/>
        <v>4</v>
      </c>
      <c r="K39" s="91">
        <f>K38+0.1</f>
        <v>0.99999999999999989</v>
      </c>
      <c r="L39" s="66">
        <f>AMI_Table!$E$13*'AMI &amp; Rent'!$C33</f>
        <v>48600</v>
      </c>
      <c r="M39" s="12"/>
      <c r="N39"/>
      <c r="O39"/>
      <c r="P39"/>
      <c r="Q39"/>
      <c r="R39"/>
      <c r="S39"/>
      <c r="T39"/>
      <c r="V39" s="27"/>
      <c r="W39"/>
      <c r="X39"/>
      <c r="Y39"/>
      <c r="Z39"/>
      <c r="AA39"/>
      <c r="AB39"/>
      <c r="AC39"/>
    </row>
    <row r="40" spans="3:29" ht="15.75" x14ac:dyDescent="0.25">
      <c r="C40" s="90" t="s">
        <v>4</v>
      </c>
      <c r="D40" s="96">
        <v>3</v>
      </c>
      <c r="E40" s="97">
        <v>0.9</v>
      </c>
      <c r="F40" s="98">
        <f>L38</f>
        <v>43740</v>
      </c>
      <c r="G40" s="66">
        <f t="shared" si="2"/>
        <v>1093</v>
      </c>
      <c r="H40" s="99">
        <f>G40-$N$20</f>
        <v>949</v>
      </c>
      <c r="I40" s="78"/>
      <c r="J40" s="90">
        <f t="shared" si="1"/>
        <v>5</v>
      </c>
      <c r="K40" s="91">
        <f>K39+0.08</f>
        <v>1.0799999999999998</v>
      </c>
      <c r="L40" s="66">
        <f>AMI_Table!$F$13*'AMI &amp; Rent'!$C33</f>
        <v>52500</v>
      </c>
      <c r="M40" s="12"/>
      <c r="N40"/>
      <c r="O40"/>
      <c r="P40"/>
      <c r="Q40"/>
      <c r="R40"/>
      <c r="S40"/>
      <c r="T40"/>
      <c r="V40" s="27"/>
      <c r="W40"/>
      <c r="X40"/>
      <c r="Y40"/>
      <c r="Z40"/>
      <c r="AA40"/>
      <c r="AB40"/>
      <c r="AC40"/>
    </row>
    <row r="41" spans="3:29" ht="15.75" x14ac:dyDescent="0.25">
      <c r="C41" s="90" t="s">
        <v>5</v>
      </c>
      <c r="D41" s="96">
        <v>4.5</v>
      </c>
      <c r="E41" s="97">
        <v>1.04</v>
      </c>
      <c r="F41" s="98">
        <f>AVERAGE(L39:L40)</f>
        <v>50550</v>
      </c>
      <c r="G41" s="66">
        <f t="shared" si="2"/>
        <v>1263</v>
      </c>
      <c r="H41" s="99">
        <f>G41-$N$21</f>
        <v>1085</v>
      </c>
      <c r="I41" s="78"/>
      <c r="J41" s="90">
        <f t="shared" si="1"/>
        <v>6</v>
      </c>
      <c r="K41" s="91">
        <f>K40+0.08</f>
        <v>1.1599999999999999</v>
      </c>
      <c r="L41" s="66">
        <f>AMI_Table!$G$13*'AMI &amp; Rent'!$C33</f>
        <v>56400</v>
      </c>
      <c r="M41" s="12"/>
      <c r="N41"/>
      <c r="O41"/>
      <c r="P41"/>
      <c r="Q41"/>
      <c r="R41"/>
      <c r="S41"/>
      <c r="T41"/>
      <c r="V41" s="27"/>
      <c r="W41" s="13"/>
      <c r="X41" s="13"/>
      <c r="Y41" s="13"/>
      <c r="Z41" s="13"/>
      <c r="AA41" s="13"/>
    </row>
    <row r="42" spans="3:29" ht="15.75" x14ac:dyDescent="0.25">
      <c r="C42" s="90" t="s">
        <v>6</v>
      </c>
      <c r="D42" s="96">
        <v>6</v>
      </c>
      <c r="E42" s="97">
        <v>1.1599999999999999</v>
      </c>
      <c r="F42" s="98">
        <f>L41</f>
        <v>56400</v>
      </c>
      <c r="G42" s="66">
        <f t="shared" si="2"/>
        <v>1410</v>
      </c>
      <c r="H42" s="99">
        <f>G42-$N$22</f>
        <v>1197</v>
      </c>
      <c r="I42" s="78"/>
      <c r="J42" s="90">
        <f>J43-1</f>
        <v>7</v>
      </c>
      <c r="K42" s="91">
        <f>K41+0.08</f>
        <v>1.24</v>
      </c>
      <c r="L42" s="66">
        <f>AMI_Table!$H$13*'AMI &amp; Rent'!$C33</f>
        <v>60270</v>
      </c>
      <c r="M42" s="12"/>
      <c r="N42"/>
      <c r="O42"/>
      <c r="P42"/>
      <c r="Q42"/>
      <c r="R42"/>
      <c r="S42"/>
      <c r="T42"/>
      <c r="V42" s="27"/>
    </row>
    <row r="43" spans="3:29" ht="15.75" x14ac:dyDescent="0.25">
      <c r="C43" s="90" t="s">
        <v>7</v>
      </c>
      <c r="D43" s="96">
        <v>7.5</v>
      </c>
      <c r="E43" s="97">
        <f>1.28</f>
        <v>1.28</v>
      </c>
      <c r="F43" s="98">
        <f>AVERAGE(L42:L43)</f>
        <v>62220</v>
      </c>
      <c r="G43" s="66">
        <f t="shared" si="2"/>
        <v>1555</v>
      </c>
      <c r="H43" s="99">
        <f>G43-$N$23</f>
        <v>1307</v>
      </c>
      <c r="I43" s="78"/>
      <c r="J43" s="90">
        <v>8</v>
      </c>
      <c r="K43" s="91">
        <f>K42+0.08</f>
        <v>1.32</v>
      </c>
      <c r="L43" s="66">
        <f>AMI_Table!$I$13*'AMI &amp; Rent'!$C33</f>
        <v>64170</v>
      </c>
      <c r="M43" s="12"/>
      <c r="N43"/>
      <c r="O43"/>
      <c r="P43"/>
      <c r="Q43"/>
      <c r="R43"/>
      <c r="S43"/>
      <c r="T43"/>
      <c r="V43" s="27"/>
    </row>
    <row r="44" spans="3:29" s="3" customFormat="1" ht="15.75" x14ac:dyDescent="0.25">
      <c r="C44" s="100"/>
      <c r="D44" s="101"/>
      <c r="E44" s="101"/>
      <c r="F44" s="102"/>
      <c r="G44" s="103"/>
      <c r="H44" s="78"/>
      <c r="I44" s="78"/>
      <c r="J44" s="102"/>
      <c r="K44" s="102"/>
      <c r="L44" s="102"/>
      <c r="N44"/>
      <c r="O44"/>
      <c r="P44"/>
      <c r="Q44"/>
      <c r="R44"/>
      <c r="S44"/>
      <c r="T44"/>
    </row>
    <row r="45" spans="3:29" s="3" customFormat="1" ht="15.75" x14ac:dyDescent="0.25">
      <c r="C45" s="100"/>
      <c r="D45" s="101"/>
      <c r="E45" s="101"/>
      <c r="F45" s="102"/>
      <c r="G45" s="104"/>
      <c r="H45" s="105"/>
      <c r="I45" s="105"/>
      <c r="J45" s="106"/>
      <c r="K45" s="106"/>
      <c r="L45" s="106"/>
      <c r="M45" s="38"/>
      <c r="N45"/>
      <c r="O45"/>
      <c r="P45"/>
      <c r="Q45"/>
      <c r="R45"/>
      <c r="S45"/>
      <c r="T45"/>
    </row>
    <row r="46" spans="3:29" ht="15.75" x14ac:dyDescent="0.25">
      <c r="C46" s="72">
        <v>0.4</v>
      </c>
      <c r="D46" s="73" t="s">
        <v>9</v>
      </c>
      <c r="E46" s="66">
        <f>AMI_Table!$E$13*'AMI &amp; Rent'!$C46</f>
        <v>64800</v>
      </c>
      <c r="F46" s="74" t="s">
        <v>0</v>
      </c>
      <c r="G46" s="102"/>
      <c r="H46" s="78"/>
      <c r="I46" s="78"/>
      <c r="J46" s="102"/>
      <c r="K46" s="102"/>
      <c r="L46" s="102"/>
      <c r="M46" s="3"/>
      <c r="N46"/>
      <c r="O46"/>
      <c r="P46"/>
      <c r="Q46"/>
      <c r="R46"/>
      <c r="S46"/>
      <c r="T46"/>
      <c r="V46" s="3"/>
    </row>
    <row r="47" spans="3:29" x14ac:dyDescent="0.2">
      <c r="C47" s="77"/>
      <c r="D47" s="77"/>
      <c r="E47" s="77"/>
      <c r="F47" s="77"/>
      <c r="G47" s="78"/>
      <c r="H47" s="78"/>
      <c r="I47" s="78"/>
      <c r="J47" s="79"/>
      <c r="K47" s="80"/>
      <c r="L47" s="81" t="s">
        <v>10</v>
      </c>
      <c r="N47"/>
      <c r="O47"/>
      <c r="P47"/>
      <c r="Q47"/>
      <c r="R47"/>
      <c r="S47"/>
      <c r="T47"/>
      <c r="V47" s="3"/>
    </row>
    <row r="48" spans="3:29" ht="15.75" customHeight="1" x14ac:dyDescent="0.25">
      <c r="C48" s="82"/>
      <c r="D48" s="83"/>
      <c r="E48" s="83"/>
      <c r="F48" s="83"/>
      <c r="G48" s="128" t="s">
        <v>32</v>
      </c>
      <c r="H48" s="128" t="s">
        <v>33</v>
      </c>
      <c r="I48" s="78"/>
      <c r="J48" s="84" t="s">
        <v>11</v>
      </c>
      <c r="K48" s="85" t="s">
        <v>12</v>
      </c>
      <c r="L48" s="86" t="s">
        <v>13</v>
      </c>
      <c r="M48" s="9"/>
      <c r="N48"/>
      <c r="O48"/>
      <c r="P48"/>
      <c r="Q48"/>
      <c r="R48"/>
      <c r="S48"/>
      <c r="T48"/>
      <c r="V48" s="3"/>
    </row>
    <row r="49" spans="3:27" ht="26.1" customHeight="1" x14ac:dyDescent="0.25">
      <c r="C49" s="87"/>
      <c r="D49" s="88"/>
      <c r="E49" s="88"/>
      <c r="F49" s="89" t="s">
        <v>10</v>
      </c>
      <c r="G49" s="129"/>
      <c r="H49" s="129"/>
      <c r="I49" s="78"/>
      <c r="J49" s="90">
        <f t="shared" ref="J49:J54" si="3">J50-1</f>
        <v>1</v>
      </c>
      <c r="K49" s="91">
        <v>0.7</v>
      </c>
      <c r="L49" s="66">
        <f>AMI_Table!$B$13*'AMI &amp; Rent'!$C46</f>
        <v>45360</v>
      </c>
      <c r="M49" s="10"/>
      <c r="N49"/>
      <c r="O49"/>
      <c r="P49"/>
      <c r="Q49"/>
      <c r="R49"/>
      <c r="S49"/>
      <c r="T49"/>
    </row>
    <row r="50" spans="3:27" ht="21" customHeight="1" x14ac:dyDescent="0.25">
      <c r="C50" s="92"/>
      <c r="D50" s="93" t="s">
        <v>14</v>
      </c>
      <c r="E50" s="94" t="s">
        <v>15</v>
      </c>
      <c r="F50" s="95" t="s">
        <v>13</v>
      </c>
      <c r="G50" s="130"/>
      <c r="H50" s="130"/>
      <c r="I50" s="78"/>
      <c r="J50" s="90">
        <f t="shared" si="3"/>
        <v>2</v>
      </c>
      <c r="K50" s="91">
        <f>K49+0.1</f>
        <v>0.79999999999999993</v>
      </c>
      <c r="L50" s="66">
        <f>AMI_Table!$C$13*'AMI &amp; Rent'!$C46</f>
        <v>51840</v>
      </c>
      <c r="M50" s="11"/>
      <c r="N50"/>
      <c r="O50"/>
      <c r="P50"/>
      <c r="Q50"/>
      <c r="R50"/>
      <c r="S50"/>
      <c r="T50"/>
    </row>
    <row r="51" spans="3:27" ht="15.75" x14ac:dyDescent="0.25">
      <c r="C51" s="90" t="s">
        <v>1</v>
      </c>
      <c r="D51" s="96">
        <v>1</v>
      </c>
      <c r="E51" s="97">
        <v>0.7</v>
      </c>
      <c r="F51" s="98">
        <f>AMI_Table!$B$13*'AMI &amp; Rent'!$C46</f>
        <v>45360</v>
      </c>
      <c r="G51" s="66">
        <f t="shared" ref="G51:G56" si="4">ROUNDDOWN(F51*$A$7/12,0)</f>
        <v>1134</v>
      </c>
      <c r="H51" s="99">
        <f>G51-$N$18</f>
        <v>1038</v>
      </c>
      <c r="I51" s="78"/>
      <c r="J51" s="90">
        <f t="shared" si="3"/>
        <v>3</v>
      </c>
      <c r="K51" s="91">
        <f>K50+0.1</f>
        <v>0.89999999999999991</v>
      </c>
      <c r="L51" s="66">
        <f>AMI_Table!$D$13*'AMI &amp; Rent'!$C46</f>
        <v>58320</v>
      </c>
      <c r="M51" s="12"/>
      <c r="N51"/>
      <c r="O51"/>
      <c r="P51"/>
      <c r="Q51"/>
      <c r="R51"/>
      <c r="S51"/>
      <c r="T51"/>
    </row>
    <row r="52" spans="3:27" ht="15.75" x14ac:dyDescent="0.25">
      <c r="C52" s="90" t="s">
        <v>2</v>
      </c>
      <c r="D52" s="96">
        <v>1.5</v>
      </c>
      <c r="E52" s="97">
        <v>0.75</v>
      </c>
      <c r="F52" s="98">
        <f>AVERAGE(L49:L50)</f>
        <v>48600</v>
      </c>
      <c r="G52" s="66">
        <f t="shared" si="4"/>
        <v>1215</v>
      </c>
      <c r="H52" s="99">
        <f>G52-$N$19</f>
        <v>1106</v>
      </c>
      <c r="I52" s="78"/>
      <c r="J52" s="90">
        <f t="shared" si="3"/>
        <v>4</v>
      </c>
      <c r="K52" s="91">
        <f>K51+0.1</f>
        <v>0.99999999999999989</v>
      </c>
      <c r="L52" s="66">
        <f>AMI_Table!$E$13*'AMI &amp; Rent'!$C46</f>
        <v>64800</v>
      </c>
      <c r="M52" s="12"/>
      <c r="N52"/>
      <c r="O52"/>
      <c r="P52"/>
      <c r="Q52"/>
      <c r="R52"/>
      <c r="S52"/>
      <c r="T52"/>
      <c r="W52" s="13"/>
      <c r="X52" s="13"/>
      <c r="Y52" s="13"/>
      <c r="Z52" s="13"/>
      <c r="AA52" s="13"/>
    </row>
    <row r="53" spans="3:27" ht="15.75" x14ac:dyDescent="0.25">
      <c r="C53" s="90" t="s">
        <v>4</v>
      </c>
      <c r="D53" s="96">
        <v>3</v>
      </c>
      <c r="E53" s="97">
        <v>0.9</v>
      </c>
      <c r="F53" s="98">
        <f>L51</f>
        <v>58320</v>
      </c>
      <c r="G53" s="66">
        <f t="shared" si="4"/>
        <v>1458</v>
      </c>
      <c r="H53" s="99">
        <f>G53-$N$20</f>
        <v>1314</v>
      </c>
      <c r="I53" s="78"/>
      <c r="J53" s="90">
        <f t="shared" si="3"/>
        <v>5</v>
      </c>
      <c r="K53" s="91">
        <f>K52+0.08</f>
        <v>1.0799999999999998</v>
      </c>
      <c r="L53" s="66">
        <f>AMI_Table!$F$13*'AMI &amp; Rent'!$C46</f>
        <v>70000</v>
      </c>
      <c r="M53" s="12"/>
      <c r="N53"/>
      <c r="O53"/>
      <c r="P53"/>
      <c r="Q53"/>
      <c r="R53"/>
      <c r="S53"/>
      <c r="T53"/>
      <c r="W53" s="13"/>
      <c r="X53" s="13"/>
      <c r="Y53" s="13"/>
      <c r="Z53" s="13"/>
      <c r="AA53" s="13"/>
    </row>
    <row r="54" spans="3:27" ht="15.75" x14ac:dyDescent="0.25">
      <c r="C54" s="90" t="s">
        <v>5</v>
      </c>
      <c r="D54" s="96">
        <v>4.5</v>
      </c>
      <c r="E54" s="97">
        <v>1.04</v>
      </c>
      <c r="F54" s="98">
        <f>AVERAGE(L52:L53)</f>
        <v>67400</v>
      </c>
      <c r="G54" s="66">
        <f t="shared" si="4"/>
        <v>1685</v>
      </c>
      <c r="H54" s="99">
        <f>G54-$N$21</f>
        <v>1507</v>
      </c>
      <c r="I54" s="78"/>
      <c r="J54" s="90">
        <f t="shared" si="3"/>
        <v>6</v>
      </c>
      <c r="K54" s="91">
        <f>K53+0.08</f>
        <v>1.1599999999999999</v>
      </c>
      <c r="L54" s="66">
        <f>AMI_Table!$G$13*'AMI &amp; Rent'!$C46</f>
        <v>75200</v>
      </c>
      <c r="M54" s="12"/>
      <c r="N54"/>
      <c r="O54"/>
      <c r="P54"/>
      <c r="Q54"/>
      <c r="R54"/>
      <c r="S54"/>
      <c r="T54"/>
      <c r="W54" s="13"/>
      <c r="X54" s="13"/>
      <c r="Y54" s="13"/>
      <c r="Z54" s="13"/>
      <c r="AA54" s="13"/>
    </row>
    <row r="55" spans="3:27" ht="15.75" x14ac:dyDescent="0.25">
      <c r="C55" s="90" t="s">
        <v>6</v>
      </c>
      <c r="D55" s="96">
        <v>6</v>
      </c>
      <c r="E55" s="97">
        <v>1.1599999999999999</v>
      </c>
      <c r="F55" s="98">
        <f>L54</f>
        <v>75200</v>
      </c>
      <c r="G55" s="66">
        <f t="shared" si="4"/>
        <v>1880</v>
      </c>
      <c r="H55" s="99">
        <f>G55-$N$22</f>
        <v>1667</v>
      </c>
      <c r="I55" s="78"/>
      <c r="J55" s="90">
        <f>J56-1</f>
        <v>7</v>
      </c>
      <c r="K55" s="91">
        <f>K54+0.08</f>
        <v>1.24</v>
      </c>
      <c r="L55" s="66">
        <f>AMI_Table!$H$13*'AMI &amp; Rent'!$C46</f>
        <v>80360</v>
      </c>
      <c r="M55" s="12"/>
      <c r="N55"/>
      <c r="O55"/>
      <c r="P55"/>
      <c r="Q55"/>
      <c r="R55"/>
      <c r="S55"/>
      <c r="T55"/>
    </row>
    <row r="56" spans="3:27" ht="15.75" x14ac:dyDescent="0.25">
      <c r="C56" s="90" t="s">
        <v>7</v>
      </c>
      <c r="D56" s="96">
        <v>7.5</v>
      </c>
      <c r="E56" s="97">
        <f>1.28</f>
        <v>1.28</v>
      </c>
      <c r="F56" s="98">
        <f>AVERAGE(L55:L56)</f>
        <v>82960</v>
      </c>
      <c r="G56" s="66">
        <f t="shared" si="4"/>
        <v>2074</v>
      </c>
      <c r="H56" s="99">
        <f>G56-$N$23</f>
        <v>1826</v>
      </c>
      <c r="I56" s="78"/>
      <c r="J56" s="90">
        <v>8</v>
      </c>
      <c r="K56" s="91">
        <f>K55+0.08</f>
        <v>1.32</v>
      </c>
      <c r="L56" s="66">
        <f>AMI_Table!$I$13*'AMI &amp; Rent'!$C46</f>
        <v>85560</v>
      </c>
      <c r="M56" s="12"/>
      <c r="N56"/>
      <c r="O56"/>
      <c r="P56"/>
      <c r="Q56"/>
      <c r="R56"/>
      <c r="S56"/>
      <c r="T56"/>
    </row>
    <row r="57" spans="3:27" x14ac:dyDescent="0.2">
      <c r="C57" s="77"/>
      <c r="D57" s="77"/>
      <c r="E57" s="77"/>
      <c r="F57" s="107"/>
      <c r="G57" s="108"/>
      <c r="H57" s="78"/>
      <c r="I57" s="78"/>
      <c r="J57" s="77"/>
      <c r="K57" s="77"/>
      <c r="L57" s="77"/>
      <c r="N57"/>
      <c r="O57"/>
      <c r="P57"/>
      <c r="Q57"/>
      <c r="R57"/>
      <c r="S57"/>
      <c r="T57"/>
    </row>
    <row r="58" spans="3:27" x14ac:dyDescent="0.2">
      <c r="C58" s="77"/>
      <c r="D58" s="77"/>
      <c r="E58" s="77"/>
      <c r="F58" s="107"/>
      <c r="G58" s="108"/>
      <c r="H58" s="105"/>
      <c r="I58" s="105"/>
      <c r="J58" s="106"/>
      <c r="K58" s="106"/>
      <c r="L58" s="106"/>
      <c r="M58" s="38"/>
      <c r="N58"/>
      <c r="O58"/>
      <c r="P58"/>
      <c r="Q58"/>
      <c r="R58"/>
      <c r="S58"/>
      <c r="T58"/>
    </row>
    <row r="59" spans="3:27" ht="15.75" x14ac:dyDescent="0.25">
      <c r="C59" s="72">
        <v>0.5</v>
      </c>
      <c r="D59" s="73" t="s">
        <v>9</v>
      </c>
      <c r="E59" s="66">
        <f>AMI_Table!$E$13*'AMI &amp; Rent'!$C59</f>
        <v>81000</v>
      </c>
      <c r="F59" s="74" t="s">
        <v>0</v>
      </c>
      <c r="G59" s="75"/>
      <c r="H59" s="78"/>
      <c r="I59" s="78"/>
      <c r="J59" s="102"/>
      <c r="K59" s="102"/>
      <c r="L59" s="77"/>
      <c r="M59" s="3"/>
      <c r="N59"/>
      <c r="O59"/>
      <c r="P59"/>
      <c r="Q59"/>
      <c r="R59"/>
      <c r="S59"/>
      <c r="T59"/>
    </row>
    <row r="60" spans="3:27" ht="16.5" customHeight="1" x14ac:dyDescent="0.2">
      <c r="C60" s="77"/>
      <c r="D60" s="77"/>
      <c r="E60" s="77"/>
      <c r="F60" s="77"/>
      <c r="G60" s="78"/>
      <c r="H60" s="78"/>
      <c r="I60" s="78"/>
      <c r="J60" s="79"/>
      <c r="K60" s="80"/>
      <c r="L60" s="81" t="s">
        <v>10</v>
      </c>
      <c r="N60"/>
      <c r="O60"/>
      <c r="P60"/>
      <c r="Q60"/>
      <c r="R60"/>
      <c r="S60"/>
      <c r="T60"/>
    </row>
    <row r="61" spans="3:27" ht="19.5" customHeight="1" x14ac:dyDescent="0.25">
      <c r="C61" s="82"/>
      <c r="D61" s="83"/>
      <c r="E61" s="83"/>
      <c r="F61" s="83"/>
      <c r="G61" s="128" t="s">
        <v>32</v>
      </c>
      <c r="H61" s="128" t="s">
        <v>33</v>
      </c>
      <c r="I61" s="78"/>
      <c r="J61" s="84" t="s">
        <v>11</v>
      </c>
      <c r="K61" s="85" t="s">
        <v>12</v>
      </c>
      <c r="L61" s="86" t="s">
        <v>13</v>
      </c>
      <c r="M61" s="9"/>
      <c r="N61"/>
      <c r="O61"/>
      <c r="P61"/>
      <c r="Q61"/>
      <c r="R61"/>
      <c r="S61"/>
      <c r="T61"/>
    </row>
    <row r="62" spans="3:27" ht="22.5" customHeight="1" x14ac:dyDescent="0.25">
      <c r="C62" s="87"/>
      <c r="D62" s="88"/>
      <c r="E62" s="88"/>
      <c r="F62" s="89" t="s">
        <v>10</v>
      </c>
      <c r="G62" s="129"/>
      <c r="H62" s="129"/>
      <c r="I62" s="78"/>
      <c r="J62" s="90">
        <f t="shared" ref="J62:J67" si="5">J63-1</f>
        <v>1</v>
      </c>
      <c r="K62" s="91">
        <v>0.7</v>
      </c>
      <c r="L62" s="66">
        <f>AMI_Table!$B$13*'AMI &amp; Rent'!$C59</f>
        <v>56700</v>
      </c>
      <c r="M62" s="10"/>
      <c r="N62"/>
      <c r="O62"/>
      <c r="P62"/>
      <c r="Q62"/>
      <c r="R62"/>
      <c r="S62"/>
      <c r="T62"/>
    </row>
    <row r="63" spans="3:27" ht="30" customHeight="1" x14ac:dyDescent="0.25">
      <c r="C63" s="92"/>
      <c r="D63" s="93" t="s">
        <v>14</v>
      </c>
      <c r="E63" s="94" t="s">
        <v>15</v>
      </c>
      <c r="F63" s="95" t="s">
        <v>13</v>
      </c>
      <c r="G63" s="130"/>
      <c r="H63" s="130"/>
      <c r="I63" s="78"/>
      <c r="J63" s="90">
        <f t="shared" si="5"/>
        <v>2</v>
      </c>
      <c r="K63" s="91">
        <f>K62+0.1</f>
        <v>0.79999999999999993</v>
      </c>
      <c r="L63" s="66">
        <f>AMI_Table!$C$13*'AMI &amp; Rent'!$C59</f>
        <v>64800</v>
      </c>
      <c r="M63" s="11"/>
      <c r="N63"/>
      <c r="O63"/>
      <c r="P63"/>
      <c r="Q63"/>
      <c r="R63"/>
      <c r="S63"/>
      <c r="T63"/>
    </row>
    <row r="64" spans="3:27" ht="15.75" x14ac:dyDescent="0.25">
      <c r="C64" s="90" t="s">
        <v>1</v>
      </c>
      <c r="D64" s="96">
        <v>1</v>
      </c>
      <c r="E64" s="97">
        <v>0.7</v>
      </c>
      <c r="F64" s="98">
        <f>AMI_Table!$B$13*'AMI &amp; Rent'!$C59</f>
        <v>56700</v>
      </c>
      <c r="G64" s="66">
        <f t="shared" ref="G64:G69" si="6">ROUNDDOWN(F64*$A$7/12,0)</f>
        <v>1417</v>
      </c>
      <c r="H64" s="99">
        <f>G64-$N$18</f>
        <v>1321</v>
      </c>
      <c r="I64" s="78"/>
      <c r="J64" s="90">
        <f t="shared" si="5"/>
        <v>3</v>
      </c>
      <c r="K64" s="91">
        <f>K63+0.1</f>
        <v>0.89999999999999991</v>
      </c>
      <c r="L64" s="66">
        <f>AMI_Table!$D$13*'AMI &amp; Rent'!$C59</f>
        <v>72900</v>
      </c>
      <c r="M64" s="12"/>
      <c r="N64"/>
      <c r="O64"/>
      <c r="P64"/>
      <c r="Q64"/>
      <c r="R64"/>
      <c r="S64"/>
      <c r="T64"/>
    </row>
    <row r="65" spans="3:20" ht="15.75" x14ac:dyDescent="0.25">
      <c r="C65" s="90" t="s">
        <v>2</v>
      </c>
      <c r="D65" s="96">
        <v>1.5</v>
      </c>
      <c r="E65" s="97">
        <v>0.75</v>
      </c>
      <c r="F65" s="98">
        <f>AVERAGE(L62:L63)</f>
        <v>60750</v>
      </c>
      <c r="G65" s="66">
        <f t="shared" si="6"/>
        <v>1518</v>
      </c>
      <c r="H65" s="99">
        <f>G65-$N$19</f>
        <v>1409</v>
      </c>
      <c r="I65" s="78"/>
      <c r="J65" s="90">
        <f t="shared" si="5"/>
        <v>4</v>
      </c>
      <c r="K65" s="91">
        <f>K64+0.1</f>
        <v>0.99999999999999989</v>
      </c>
      <c r="L65" s="66">
        <f>AMI_Table!$E$13*'AMI &amp; Rent'!$C59</f>
        <v>81000</v>
      </c>
      <c r="M65" s="12"/>
      <c r="N65"/>
      <c r="O65"/>
      <c r="P65"/>
      <c r="Q65"/>
      <c r="R65"/>
      <c r="S65"/>
      <c r="T65"/>
    </row>
    <row r="66" spans="3:20" ht="15.75" x14ac:dyDescent="0.25">
      <c r="C66" s="90" t="s">
        <v>4</v>
      </c>
      <c r="D66" s="96">
        <v>3</v>
      </c>
      <c r="E66" s="97">
        <v>0.9</v>
      </c>
      <c r="F66" s="98">
        <f>L64</f>
        <v>72900</v>
      </c>
      <c r="G66" s="66">
        <f t="shared" si="6"/>
        <v>1822</v>
      </c>
      <c r="H66" s="99">
        <f>G66-$N$20</f>
        <v>1678</v>
      </c>
      <c r="I66" s="78"/>
      <c r="J66" s="90">
        <f t="shared" si="5"/>
        <v>5</v>
      </c>
      <c r="K66" s="91">
        <f>K65+0.08</f>
        <v>1.0799999999999998</v>
      </c>
      <c r="L66" s="66">
        <f>AMI_Table!$F$13*'AMI &amp; Rent'!$C59</f>
        <v>87500</v>
      </c>
      <c r="M66" s="12"/>
      <c r="N66"/>
      <c r="O66"/>
      <c r="P66"/>
      <c r="Q66"/>
      <c r="R66"/>
      <c r="S66"/>
      <c r="T66"/>
    </row>
    <row r="67" spans="3:20" ht="15.75" x14ac:dyDescent="0.25">
      <c r="C67" s="90" t="s">
        <v>5</v>
      </c>
      <c r="D67" s="96">
        <v>4.5</v>
      </c>
      <c r="E67" s="97">
        <v>1.04</v>
      </c>
      <c r="F67" s="98">
        <f>AVERAGE(L65:L66)</f>
        <v>84250</v>
      </c>
      <c r="G67" s="66">
        <f t="shared" si="6"/>
        <v>2106</v>
      </c>
      <c r="H67" s="99">
        <f>G67-$N$21</f>
        <v>1928</v>
      </c>
      <c r="I67" s="78"/>
      <c r="J67" s="90">
        <f t="shared" si="5"/>
        <v>6</v>
      </c>
      <c r="K67" s="91">
        <f>K66+0.08</f>
        <v>1.1599999999999999</v>
      </c>
      <c r="L67" s="66">
        <f>AMI_Table!$G$13*'AMI &amp; Rent'!$C59</f>
        <v>94000</v>
      </c>
      <c r="M67" s="12"/>
      <c r="N67"/>
      <c r="O67"/>
      <c r="P67"/>
      <c r="Q67"/>
      <c r="R67"/>
      <c r="S67"/>
      <c r="T67"/>
    </row>
    <row r="68" spans="3:20" ht="15.75" x14ac:dyDescent="0.25">
      <c r="C68" s="90" t="s">
        <v>6</v>
      </c>
      <c r="D68" s="96">
        <v>6</v>
      </c>
      <c r="E68" s="97">
        <v>1.1599999999999999</v>
      </c>
      <c r="F68" s="98">
        <f>L67</f>
        <v>94000</v>
      </c>
      <c r="G68" s="66">
        <f t="shared" si="6"/>
        <v>2350</v>
      </c>
      <c r="H68" s="99">
        <f>G68-$N$22</f>
        <v>2137</v>
      </c>
      <c r="I68" s="78"/>
      <c r="J68" s="90">
        <f>J69-1</f>
        <v>7</v>
      </c>
      <c r="K68" s="91">
        <f>K67+0.08</f>
        <v>1.24</v>
      </c>
      <c r="L68" s="66">
        <f>AMI_Table!$H$13*'AMI &amp; Rent'!$C59</f>
        <v>100450</v>
      </c>
      <c r="M68" s="12"/>
      <c r="N68"/>
      <c r="O68"/>
      <c r="P68"/>
      <c r="Q68"/>
      <c r="R68"/>
      <c r="S68"/>
      <c r="T68"/>
    </row>
    <row r="69" spans="3:20" ht="15.75" x14ac:dyDescent="0.25">
      <c r="C69" s="90" t="s">
        <v>7</v>
      </c>
      <c r="D69" s="96">
        <v>7.5</v>
      </c>
      <c r="E69" s="97">
        <f>1.28</f>
        <v>1.28</v>
      </c>
      <c r="F69" s="98">
        <f>AVERAGE(L68:L69)</f>
        <v>103700</v>
      </c>
      <c r="G69" s="66">
        <f t="shared" si="6"/>
        <v>2592</v>
      </c>
      <c r="H69" s="99">
        <f>G69-$N$23</f>
        <v>2344</v>
      </c>
      <c r="I69" s="78"/>
      <c r="J69" s="90">
        <v>8</v>
      </c>
      <c r="K69" s="91">
        <f>K68+0.08</f>
        <v>1.32</v>
      </c>
      <c r="L69" s="66">
        <f>AMI_Table!$I$13*'AMI &amp; Rent'!$C59</f>
        <v>106950</v>
      </c>
      <c r="M69" s="12"/>
      <c r="N69"/>
      <c r="O69"/>
      <c r="P69"/>
      <c r="Q69"/>
      <c r="R69"/>
      <c r="S69"/>
      <c r="T69"/>
    </row>
    <row r="70" spans="3:20" x14ac:dyDescent="0.2">
      <c r="C70" s="77"/>
      <c r="D70" s="77"/>
      <c r="E70" s="77"/>
      <c r="F70" s="77"/>
      <c r="G70" s="108"/>
      <c r="H70" s="78"/>
      <c r="I70" s="78"/>
      <c r="J70" s="77"/>
      <c r="K70" s="77"/>
      <c r="L70" s="77"/>
      <c r="N70"/>
      <c r="O70"/>
      <c r="P70"/>
      <c r="Q70"/>
      <c r="R70"/>
      <c r="S70"/>
      <c r="T70"/>
    </row>
    <row r="71" spans="3:20" x14ac:dyDescent="0.2">
      <c r="C71" s="77"/>
      <c r="D71" s="77"/>
      <c r="E71" s="77"/>
      <c r="F71" s="77"/>
      <c r="G71" s="104"/>
      <c r="H71" s="105"/>
      <c r="I71" s="105"/>
      <c r="J71" s="106"/>
      <c r="K71" s="106"/>
      <c r="L71" s="106"/>
      <c r="M71" s="38"/>
      <c r="N71"/>
      <c r="O71"/>
      <c r="P71"/>
      <c r="Q71"/>
      <c r="R71"/>
      <c r="S71"/>
      <c r="T71"/>
    </row>
    <row r="72" spans="3:20" ht="15.75" x14ac:dyDescent="0.25">
      <c r="C72" s="72">
        <v>0.6</v>
      </c>
      <c r="D72" s="73" t="s">
        <v>9</v>
      </c>
      <c r="E72" s="66">
        <f>AMI_Table!$E$13*'AMI &amp; Rent'!$C72</f>
        <v>97200</v>
      </c>
      <c r="F72" s="74" t="s">
        <v>0</v>
      </c>
      <c r="G72" s="102"/>
      <c r="H72" s="78"/>
      <c r="I72" s="78"/>
      <c r="J72" s="102"/>
      <c r="K72" s="102"/>
      <c r="L72" s="77"/>
      <c r="M72" s="3"/>
      <c r="N72"/>
      <c r="O72"/>
      <c r="P72"/>
      <c r="Q72"/>
      <c r="R72"/>
      <c r="S72"/>
      <c r="T72"/>
    </row>
    <row r="73" spans="3:20" x14ac:dyDescent="0.2">
      <c r="C73" s="77"/>
      <c r="D73" s="109"/>
      <c r="E73" s="77"/>
      <c r="F73" s="77"/>
      <c r="G73" s="78"/>
      <c r="H73" s="78"/>
      <c r="I73" s="78"/>
      <c r="J73" s="79"/>
      <c r="K73" s="80"/>
      <c r="L73" s="81" t="s">
        <v>10</v>
      </c>
      <c r="N73"/>
      <c r="O73"/>
      <c r="P73"/>
      <c r="Q73"/>
      <c r="R73"/>
      <c r="S73"/>
      <c r="T73"/>
    </row>
    <row r="74" spans="3:20" ht="15.75" customHeight="1" x14ac:dyDescent="0.25">
      <c r="C74" s="82"/>
      <c r="D74" s="83"/>
      <c r="E74" s="83"/>
      <c r="F74" s="83"/>
      <c r="G74" s="128" t="s">
        <v>32</v>
      </c>
      <c r="H74" s="128" t="s">
        <v>33</v>
      </c>
      <c r="I74" s="78"/>
      <c r="J74" s="84" t="s">
        <v>11</v>
      </c>
      <c r="K74" s="85" t="s">
        <v>12</v>
      </c>
      <c r="L74" s="86" t="s">
        <v>13</v>
      </c>
      <c r="M74" s="9"/>
      <c r="N74"/>
      <c r="O74"/>
      <c r="P74"/>
      <c r="Q74"/>
      <c r="R74"/>
      <c r="S74"/>
      <c r="T74"/>
    </row>
    <row r="75" spans="3:20" ht="15.75" x14ac:dyDescent="0.25">
      <c r="C75" s="87"/>
      <c r="D75" s="88"/>
      <c r="E75" s="88"/>
      <c r="F75" s="89" t="s">
        <v>10</v>
      </c>
      <c r="G75" s="129"/>
      <c r="H75" s="129"/>
      <c r="I75" s="78"/>
      <c r="J75" s="90">
        <f t="shared" ref="J75:J80" si="7">J76-1</f>
        <v>1</v>
      </c>
      <c r="K75" s="91">
        <v>0.7</v>
      </c>
      <c r="L75" s="66">
        <f>AMI_Table!$B$13*'AMI &amp; Rent'!$C72</f>
        <v>68040</v>
      </c>
      <c r="M75" s="10"/>
      <c r="N75"/>
      <c r="O75"/>
      <c r="P75"/>
      <c r="Q75"/>
      <c r="R75"/>
      <c r="S75"/>
      <c r="T75"/>
    </row>
    <row r="76" spans="3:20" ht="36.950000000000003" customHeight="1" x14ac:dyDescent="0.25">
      <c r="C76" s="92"/>
      <c r="D76" s="93" t="s">
        <v>14</v>
      </c>
      <c r="E76" s="94" t="s">
        <v>15</v>
      </c>
      <c r="F76" s="95" t="s">
        <v>13</v>
      </c>
      <c r="G76" s="130"/>
      <c r="H76" s="130"/>
      <c r="I76" s="78"/>
      <c r="J76" s="90">
        <f t="shared" si="7"/>
        <v>2</v>
      </c>
      <c r="K76" s="91">
        <f>K75+0.1</f>
        <v>0.79999999999999993</v>
      </c>
      <c r="L76" s="66">
        <f>AMI_Table!$C$13*'AMI &amp; Rent'!$C72</f>
        <v>77760</v>
      </c>
      <c r="M76" s="11"/>
      <c r="N76"/>
      <c r="O76"/>
      <c r="P76"/>
      <c r="Q76"/>
      <c r="R76"/>
      <c r="S76"/>
      <c r="T76"/>
    </row>
    <row r="77" spans="3:20" ht="15.75" x14ac:dyDescent="0.25">
      <c r="C77" s="90" t="s">
        <v>1</v>
      </c>
      <c r="D77" s="96">
        <v>1</v>
      </c>
      <c r="E77" s="97">
        <v>0.7</v>
      </c>
      <c r="F77" s="98">
        <f>AMI_Table!$B$13*'AMI &amp; Rent'!$C72</f>
        <v>68040</v>
      </c>
      <c r="G77" s="66">
        <f t="shared" ref="G77:G82" si="8">ROUNDDOWN(F77*$A$7/12,0)</f>
        <v>1701</v>
      </c>
      <c r="H77" s="99">
        <f t="shared" ref="H77:H82" si="9">G77-N18</f>
        <v>1605</v>
      </c>
      <c r="I77" s="78"/>
      <c r="J77" s="90">
        <f t="shared" si="7"/>
        <v>3</v>
      </c>
      <c r="K77" s="91">
        <f>K76+0.1</f>
        <v>0.89999999999999991</v>
      </c>
      <c r="L77" s="66">
        <f>AMI_Table!$D$13*'AMI &amp; Rent'!$C72</f>
        <v>87480</v>
      </c>
      <c r="M77" s="12"/>
      <c r="N77"/>
      <c r="O77"/>
      <c r="P77"/>
      <c r="Q77"/>
      <c r="R77"/>
      <c r="S77"/>
      <c r="T77"/>
    </row>
    <row r="78" spans="3:20" ht="15.75" x14ac:dyDescent="0.25">
      <c r="C78" s="90" t="s">
        <v>2</v>
      </c>
      <c r="D78" s="96">
        <v>1.5</v>
      </c>
      <c r="E78" s="97">
        <v>0.75</v>
      </c>
      <c r="F78" s="98">
        <f>AVERAGE(L75:L76)</f>
        <v>72900</v>
      </c>
      <c r="G78" s="66">
        <f t="shared" si="8"/>
        <v>1822</v>
      </c>
      <c r="H78" s="99">
        <f t="shared" si="9"/>
        <v>1713</v>
      </c>
      <c r="I78" s="78"/>
      <c r="J78" s="90">
        <f t="shared" si="7"/>
        <v>4</v>
      </c>
      <c r="K78" s="91">
        <f>K77+0.1</f>
        <v>0.99999999999999989</v>
      </c>
      <c r="L78" s="66">
        <f>AMI_Table!$E$13*'AMI &amp; Rent'!$C72</f>
        <v>97200</v>
      </c>
      <c r="M78" s="12"/>
      <c r="N78"/>
      <c r="O78"/>
      <c r="P78"/>
      <c r="Q78"/>
      <c r="R78"/>
      <c r="S78"/>
      <c r="T78"/>
    </row>
    <row r="79" spans="3:20" ht="15.75" x14ac:dyDescent="0.25">
      <c r="C79" s="90" t="s">
        <v>4</v>
      </c>
      <c r="D79" s="96">
        <v>3</v>
      </c>
      <c r="E79" s="97">
        <v>0.9</v>
      </c>
      <c r="F79" s="98">
        <f>L77</f>
        <v>87480</v>
      </c>
      <c r="G79" s="66">
        <f t="shared" si="8"/>
        <v>2187</v>
      </c>
      <c r="H79" s="99">
        <f t="shared" si="9"/>
        <v>2043</v>
      </c>
      <c r="I79" s="78"/>
      <c r="J79" s="90">
        <f t="shared" si="7"/>
        <v>5</v>
      </c>
      <c r="K79" s="91">
        <f>K78+0.08</f>
        <v>1.0799999999999998</v>
      </c>
      <c r="L79" s="66">
        <f>AMI_Table!$F$13*'AMI &amp; Rent'!$C72</f>
        <v>105000</v>
      </c>
      <c r="M79" s="12"/>
      <c r="N79"/>
      <c r="O79"/>
      <c r="P79"/>
      <c r="Q79"/>
      <c r="R79"/>
      <c r="S79"/>
      <c r="T79"/>
    </row>
    <row r="80" spans="3:20" ht="15.75" x14ac:dyDescent="0.25">
      <c r="C80" s="90" t="s">
        <v>5</v>
      </c>
      <c r="D80" s="96">
        <v>4.5</v>
      </c>
      <c r="E80" s="97">
        <v>1.04</v>
      </c>
      <c r="F80" s="98">
        <f>AVERAGE(L78:L79)</f>
        <v>101100</v>
      </c>
      <c r="G80" s="66">
        <f t="shared" si="8"/>
        <v>2527</v>
      </c>
      <c r="H80" s="99">
        <f t="shared" si="9"/>
        <v>2349</v>
      </c>
      <c r="I80" s="78"/>
      <c r="J80" s="90">
        <f t="shared" si="7"/>
        <v>6</v>
      </c>
      <c r="K80" s="91">
        <f>K79+0.08</f>
        <v>1.1599999999999999</v>
      </c>
      <c r="L80" s="66">
        <f>AMI_Table!$G$13*'AMI &amp; Rent'!$C72</f>
        <v>112800</v>
      </c>
      <c r="M80" s="12"/>
      <c r="N80"/>
      <c r="O80"/>
      <c r="P80"/>
      <c r="Q80"/>
      <c r="R80"/>
      <c r="S80"/>
      <c r="T80"/>
    </row>
    <row r="81" spans="3:20" ht="15.75" x14ac:dyDescent="0.25">
      <c r="C81" s="90" t="s">
        <v>6</v>
      </c>
      <c r="D81" s="96">
        <v>6</v>
      </c>
      <c r="E81" s="97">
        <v>1.1599999999999999</v>
      </c>
      <c r="F81" s="98">
        <f>L80</f>
        <v>112800</v>
      </c>
      <c r="G81" s="66">
        <f t="shared" si="8"/>
        <v>2820</v>
      </c>
      <c r="H81" s="99">
        <f t="shared" si="9"/>
        <v>2607</v>
      </c>
      <c r="I81" s="78"/>
      <c r="J81" s="90">
        <f>J82-1</f>
        <v>7</v>
      </c>
      <c r="K81" s="91">
        <f>K80+0.08</f>
        <v>1.24</v>
      </c>
      <c r="L81" s="66">
        <f>AMI_Table!$H$13*'AMI &amp; Rent'!$C72</f>
        <v>120540</v>
      </c>
      <c r="M81" s="12"/>
      <c r="N81"/>
      <c r="O81"/>
      <c r="P81"/>
      <c r="Q81"/>
      <c r="R81"/>
      <c r="S81"/>
      <c r="T81"/>
    </row>
    <row r="82" spans="3:20" ht="15.75" x14ac:dyDescent="0.25">
      <c r="C82" s="90" t="s">
        <v>7</v>
      </c>
      <c r="D82" s="96">
        <v>7.5</v>
      </c>
      <c r="E82" s="97">
        <f>1.28</f>
        <v>1.28</v>
      </c>
      <c r="F82" s="98">
        <f>AVERAGE(L81:L82)</f>
        <v>124440</v>
      </c>
      <c r="G82" s="66">
        <f t="shared" si="8"/>
        <v>3111</v>
      </c>
      <c r="H82" s="99">
        <f t="shared" si="9"/>
        <v>2863</v>
      </c>
      <c r="I82" s="78"/>
      <c r="J82" s="90">
        <v>8</v>
      </c>
      <c r="K82" s="91">
        <f>K81+0.08</f>
        <v>1.32</v>
      </c>
      <c r="L82" s="66">
        <f>AMI_Table!$I$13*'AMI &amp; Rent'!$C72</f>
        <v>128340</v>
      </c>
      <c r="M82" s="12"/>
      <c r="N82"/>
      <c r="O82"/>
      <c r="P82"/>
      <c r="Q82"/>
      <c r="R82"/>
      <c r="S82"/>
      <c r="T82"/>
    </row>
    <row r="83" spans="3:20" ht="15.75" x14ac:dyDescent="0.25">
      <c r="C83" s="110"/>
      <c r="D83" s="110"/>
      <c r="E83" s="111"/>
      <c r="F83" s="112"/>
      <c r="G83" s="112"/>
      <c r="H83" s="112"/>
      <c r="I83" s="113"/>
      <c r="J83" s="110"/>
      <c r="K83" s="114"/>
      <c r="L83" s="112"/>
      <c r="M83" s="12"/>
      <c r="N83"/>
      <c r="O83"/>
      <c r="P83"/>
      <c r="Q83"/>
      <c r="R83"/>
      <c r="S83"/>
      <c r="T83"/>
    </row>
    <row r="84" spans="3:20" ht="15.75" x14ac:dyDescent="0.25">
      <c r="C84" s="110"/>
      <c r="D84" s="110"/>
      <c r="E84" s="111"/>
      <c r="F84" s="115"/>
      <c r="G84" s="115"/>
      <c r="H84" s="115"/>
      <c r="I84" s="116"/>
      <c r="J84" s="117"/>
      <c r="K84" s="118"/>
      <c r="L84" s="115"/>
      <c r="M84" s="53"/>
      <c r="N84"/>
      <c r="O84"/>
      <c r="P84"/>
      <c r="Q84"/>
      <c r="R84"/>
      <c r="S84"/>
      <c r="T84"/>
    </row>
    <row r="85" spans="3:20" ht="15.75" x14ac:dyDescent="0.25">
      <c r="C85" s="72">
        <v>0.7</v>
      </c>
      <c r="D85" s="73" t="s">
        <v>9</v>
      </c>
      <c r="E85" s="66">
        <f>AMI_Table!$E$13*'AMI &amp; Rent'!$C85</f>
        <v>113400</v>
      </c>
      <c r="F85" s="119" t="s">
        <v>0</v>
      </c>
      <c r="G85" s="102"/>
      <c r="H85" s="78"/>
      <c r="I85" s="78"/>
      <c r="J85" s="102"/>
      <c r="K85" s="102"/>
      <c r="L85" s="77"/>
      <c r="M85" s="3"/>
      <c r="N85"/>
      <c r="O85"/>
      <c r="P85"/>
      <c r="Q85"/>
      <c r="R85"/>
      <c r="S85"/>
      <c r="T85"/>
    </row>
    <row r="86" spans="3:20" x14ac:dyDescent="0.2">
      <c r="C86" s="77"/>
      <c r="D86" s="77"/>
      <c r="E86" s="77"/>
      <c r="F86" s="77"/>
      <c r="G86" s="78"/>
      <c r="H86" s="78"/>
      <c r="I86" s="78"/>
      <c r="J86" s="79"/>
      <c r="K86" s="80"/>
      <c r="L86" s="81" t="s">
        <v>10</v>
      </c>
      <c r="N86"/>
      <c r="O86"/>
      <c r="P86"/>
      <c r="Q86"/>
      <c r="R86"/>
      <c r="S86"/>
      <c r="T86"/>
    </row>
    <row r="87" spans="3:20" ht="15.75" x14ac:dyDescent="0.25">
      <c r="C87" s="82"/>
      <c r="D87" s="83"/>
      <c r="E87" s="83"/>
      <c r="F87" s="83"/>
      <c r="G87" s="128" t="s">
        <v>32</v>
      </c>
      <c r="H87" s="128" t="s">
        <v>33</v>
      </c>
      <c r="I87" s="78"/>
      <c r="J87" s="84" t="s">
        <v>11</v>
      </c>
      <c r="K87" s="85" t="s">
        <v>12</v>
      </c>
      <c r="L87" s="86" t="s">
        <v>13</v>
      </c>
      <c r="M87" s="9"/>
      <c r="N87"/>
      <c r="O87"/>
      <c r="P87"/>
      <c r="Q87"/>
      <c r="R87"/>
      <c r="S87"/>
      <c r="T87"/>
    </row>
    <row r="88" spans="3:20" ht="15.75" x14ac:dyDescent="0.25">
      <c r="C88" s="87"/>
      <c r="D88" s="88"/>
      <c r="E88" s="88"/>
      <c r="F88" s="89" t="s">
        <v>10</v>
      </c>
      <c r="G88" s="129"/>
      <c r="H88" s="129"/>
      <c r="I88" s="78"/>
      <c r="J88" s="90">
        <f t="shared" ref="J88:J93" si="10">J89-1</f>
        <v>1</v>
      </c>
      <c r="K88" s="91">
        <v>0.7</v>
      </c>
      <c r="L88" s="66">
        <f>AMI_Table!$B$13*'AMI &amp; Rent'!$C85</f>
        <v>79380</v>
      </c>
      <c r="M88" s="10"/>
      <c r="N88"/>
      <c r="O88"/>
      <c r="P88"/>
      <c r="Q88"/>
      <c r="R88"/>
      <c r="S88"/>
      <c r="T88"/>
    </row>
    <row r="89" spans="3:20" ht="24.75" customHeight="1" x14ac:dyDescent="0.25">
      <c r="C89" s="92"/>
      <c r="D89" s="93" t="s">
        <v>14</v>
      </c>
      <c r="E89" s="94" t="s">
        <v>15</v>
      </c>
      <c r="F89" s="95" t="s">
        <v>13</v>
      </c>
      <c r="G89" s="130"/>
      <c r="H89" s="130"/>
      <c r="I89" s="78"/>
      <c r="J89" s="90">
        <f t="shared" si="10"/>
        <v>2</v>
      </c>
      <c r="K89" s="91">
        <f>K88+0.1</f>
        <v>0.79999999999999993</v>
      </c>
      <c r="L89" s="66">
        <f>AMI_Table!$C$13*'AMI &amp; Rent'!$C85</f>
        <v>90720</v>
      </c>
      <c r="M89" s="11"/>
      <c r="N89"/>
      <c r="O89"/>
      <c r="P89"/>
      <c r="Q89"/>
      <c r="R89"/>
      <c r="S89"/>
      <c r="T89"/>
    </row>
    <row r="90" spans="3:20" ht="15.75" x14ac:dyDescent="0.25">
      <c r="C90" s="90" t="s">
        <v>1</v>
      </c>
      <c r="D90" s="96">
        <v>1</v>
      </c>
      <c r="E90" s="97">
        <v>0.7</v>
      </c>
      <c r="F90" s="98">
        <f>AMI_Table!$B$13*'AMI &amp; Rent'!$C85</f>
        <v>79380</v>
      </c>
      <c r="G90" s="66">
        <f t="shared" ref="G90:G95" si="11">ROUNDDOWN(F90*$A$7/12,0)</f>
        <v>1984</v>
      </c>
      <c r="H90" s="99">
        <f>G90-$N$18</f>
        <v>1888</v>
      </c>
      <c r="I90" s="78"/>
      <c r="J90" s="90">
        <f t="shared" si="10"/>
        <v>3</v>
      </c>
      <c r="K90" s="91">
        <f>K89+0.1</f>
        <v>0.89999999999999991</v>
      </c>
      <c r="L90" s="66">
        <f>AMI_Table!$D$13*'AMI &amp; Rent'!$C85</f>
        <v>102060</v>
      </c>
      <c r="M90" s="12"/>
      <c r="N90"/>
      <c r="O90"/>
      <c r="P90"/>
      <c r="Q90"/>
      <c r="R90"/>
      <c r="S90"/>
      <c r="T90"/>
    </row>
    <row r="91" spans="3:20" ht="15.75" x14ac:dyDescent="0.25">
      <c r="C91" s="90" t="s">
        <v>2</v>
      </c>
      <c r="D91" s="96">
        <v>1.5</v>
      </c>
      <c r="E91" s="97">
        <v>0.75</v>
      </c>
      <c r="F91" s="98">
        <f>AVERAGE(L88:L89)</f>
        <v>85050</v>
      </c>
      <c r="G91" s="66">
        <f t="shared" si="11"/>
        <v>2126</v>
      </c>
      <c r="H91" s="99">
        <f>G91-$N$19</f>
        <v>2017</v>
      </c>
      <c r="I91" s="78"/>
      <c r="J91" s="90">
        <f t="shared" si="10"/>
        <v>4</v>
      </c>
      <c r="K91" s="91">
        <f>K90+0.1</f>
        <v>0.99999999999999989</v>
      </c>
      <c r="L91" s="66">
        <f>AMI_Table!$E$13*'AMI &amp; Rent'!$C85</f>
        <v>113400</v>
      </c>
      <c r="M91" s="12"/>
      <c r="N91"/>
      <c r="O91"/>
      <c r="P91"/>
      <c r="Q91"/>
      <c r="R91"/>
      <c r="S91"/>
      <c r="T91"/>
    </row>
    <row r="92" spans="3:20" ht="15.75" x14ac:dyDescent="0.25">
      <c r="C92" s="90" t="s">
        <v>4</v>
      </c>
      <c r="D92" s="96">
        <v>3</v>
      </c>
      <c r="E92" s="97">
        <v>0.9</v>
      </c>
      <c r="F92" s="98">
        <f>L90</f>
        <v>102060</v>
      </c>
      <c r="G92" s="66">
        <f t="shared" si="11"/>
        <v>2551</v>
      </c>
      <c r="H92" s="99">
        <f>G92-$N$20</f>
        <v>2407</v>
      </c>
      <c r="I92" s="78"/>
      <c r="J92" s="90">
        <f t="shared" si="10"/>
        <v>5</v>
      </c>
      <c r="K92" s="91">
        <f>K91+0.08</f>
        <v>1.0799999999999998</v>
      </c>
      <c r="L92" s="66">
        <f>AMI_Table!$F$13*'AMI &amp; Rent'!$C85</f>
        <v>122499.99999999999</v>
      </c>
      <c r="M92" s="12"/>
      <c r="N92"/>
      <c r="O92"/>
      <c r="P92"/>
      <c r="Q92"/>
      <c r="R92"/>
      <c r="S92"/>
      <c r="T92"/>
    </row>
    <row r="93" spans="3:20" ht="15.75" x14ac:dyDescent="0.25">
      <c r="C93" s="90" t="s">
        <v>5</v>
      </c>
      <c r="D93" s="96">
        <v>4.5</v>
      </c>
      <c r="E93" s="97">
        <v>1.04</v>
      </c>
      <c r="F93" s="98">
        <f>AVERAGE(L91:L92)</f>
        <v>117950</v>
      </c>
      <c r="G93" s="66">
        <f t="shared" si="11"/>
        <v>2948</v>
      </c>
      <c r="H93" s="99">
        <f>G93-$N$21</f>
        <v>2770</v>
      </c>
      <c r="I93" s="78"/>
      <c r="J93" s="90">
        <f t="shared" si="10"/>
        <v>6</v>
      </c>
      <c r="K93" s="91">
        <f>K92+0.08</f>
        <v>1.1599999999999999</v>
      </c>
      <c r="L93" s="66">
        <f>AMI_Table!$G$13*'AMI &amp; Rent'!$C85</f>
        <v>131600</v>
      </c>
      <c r="M93" s="12"/>
      <c r="N93"/>
      <c r="O93"/>
      <c r="P93"/>
      <c r="Q93"/>
      <c r="R93"/>
      <c r="S93"/>
      <c r="T93"/>
    </row>
    <row r="94" spans="3:20" ht="15.75" x14ac:dyDescent="0.25">
      <c r="C94" s="90" t="s">
        <v>6</v>
      </c>
      <c r="D94" s="96">
        <v>6</v>
      </c>
      <c r="E94" s="97">
        <v>1.1599999999999999</v>
      </c>
      <c r="F94" s="98">
        <f>L93</f>
        <v>131600</v>
      </c>
      <c r="G94" s="66">
        <f t="shared" si="11"/>
        <v>3290</v>
      </c>
      <c r="H94" s="99">
        <f>G94-$N$22</f>
        <v>3077</v>
      </c>
      <c r="I94" s="78"/>
      <c r="J94" s="90">
        <f>J95-1</f>
        <v>7</v>
      </c>
      <c r="K94" s="91">
        <f>K93+0.08</f>
        <v>1.24</v>
      </c>
      <c r="L94" s="66">
        <f>AMI_Table!$H$13*'AMI &amp; Rent'!$C85</f>
        <v>140630</v>
      </c>
      <c r="M94" s="12"/>
      <c r="N94"/>
      <c r="O94"/>
      <c r="P94"/>
      <c r="Q94"/>
      <c r="R94"/>
      <c r="S94"/>
      <c r="T94"/>
    </row>
    <row r="95" spans="3:20" ht="15.75" x14ac:dyDescent="0.25">
      <c r="C95" s="90" t="s">
        <v>7</v>
      </c>
      <c r="D95" s="96">
        <v>7.5</v>
      </c>
      <c r="E95" s="97">
        <f>1.28</f>
        <v>1.28</v>
      </c>
      <c r="F95" s="98">
        <f>AVERAGE(L94:L95)</f>
        <v>145180</v>
      </c>
      <c r="G95" s="66">
        <f t="shared" si="11"/>
        <v>3629</v>
      </c>
      <c r="H95" s="99">
        <f>G95-$N$23</f>
        <v>3381</v>
      </c>
      <c r="I95" s="78"/>
      <c r="J95" s="90">
        <v>8</v>
      </c>
      <c r="K95" s="91">
        <f>K94+0.08</f>
        <v>1.32</v>
      </c>
      <c r="L95" s="66">
        <f>AMI_Table!$I$13*'AMI &amp; Rent'!$C85</f>
        <v>149730</v>
      </c>
      <c r="M95" s="12"/>
      <c r="N95"/>
      <c r="O95"/>
      <c r="P95"/>
      <c r="Q95"/>
      <c r="R95"/>
      <c r="S95"/>
      <c r="T95"/>
    </row>
    <row r="96" spans="3:20" x14ac:dyDescent="0.2">
      <c r="C96" s="120"/>
      <c r="D96" s="120"/>
      <c r="E96" s="120"/>
      <c r="F96" s="120"/>
      <c r="G96" s="121"/>
      <c r="H96" s="78"/>
      <c r="I96" s="78"/>
      <c r="J96" s="120"/>
      <c r="K96" s="120"/>
      <c r="L96" s="77"/>
      <c r="M96" s="28"/>
      <c r="N96"/>
      <c r="O96"/>
      <c r="P96"/>
      <c r="Q96"/>
      <c r="R96"/>
      <c r="S96"/>
      <c r="T96"/>
    </row>
    <row r="97" spans="3:20" x14ac:dyDescent="0.2">
      <c r="C97" s="120"/>
      <c r="D97" s="120"/>
      <c r="E97" s="120"/>
      <c r="F97" s="120"/>
      <c r="G97" s="122"/>
      <c r="H97" s="105"/>
      <c r="I97" s="105"/>
      <c r="J97" s="123"/>
      <c r="K97" s="123"/>
      <c r="L97" s="106"/>
      <c r="M97" s="39"/>
      <c r="N97"/>
      <c r="O97"/>
      <c r="P97"/>
      <c r="Q97"/>
      <c r="R97"/>
      <c r="S97"/>
      <c r="T97"/>
    </row>
    <row r="98" spans="3:20" ht="15.75" x14ac:dyDescent="0.25">
      <c r="C98" s="72">
        <v>0.8</v>
      </c>
      <c r="D98" s="73" t="s">
        <v>9</v>
      </c>
      <c r="E98" s="66">
        <f>AMI_Table!$E$13*'AMI &amp; Rent'!$C98</f>
        <v>129600</v>
      </c>
      <c r="F98" s="74" t="s">
        <v>0</v>
      </c>
      <c r="G98" s="102"/>
      <c r="H98" s="78"/>
      <c r="I98" s="78"/>
      <c r="J98" s="102"/>
      <c r="K98" s="102"/>
      <c r="L98" s="77"/>
      <c r="M98" s="3"/>
      <c r="N98"/>
      <c r="O98"/>
      <c r="P98"/>
      <c r="Q98"/>
      <c r="R98"/>
      <c r="S98"/>
      <c r="T98"/>
    </row>
    <row r="99" spans="3:20" x14ac:dyDescent="0.2">
      <c r="C99" s="77"/>
      <c r="D99" s="77"/>
      <c r="E99" s="77"/>
      <c r="F99" s="77"/>
      <c r="G99" s="78"/>
      <c r="H99" s="78"/>
      <c r="I99" s="78"/>
      <c r="J99" s="79"/>
      <c r="K99" s="80"/>
      <c r="L99" s="81" t="s">
        <v>10</v>
      </c>
      <c r="N99"/>
      <c r="O99"/>
      <c r="P99"/>
      <c r="Q99"/>
      <c r="R99"/>
      <c r="S99"/>
      <c r="T99"/>
    </row>
    <row r="100" spans="3:20" ht="15.75" customHeight="1" x14ac:dyDescent="0.25">
      <c r="C100" s="82"/>
      <c r="D100" s="83"/>
      <c r="E100" s="83"/>
      <c r="F100" s="83"/>
      <c r="G100" s="128" t="s">
        <v>32</v>
      </c>
      <c r="H100" s="128" t="s">
        <v>33</v>
      </c>
      <c r="I100" s="78"/>
      <c r="J100" s="84" t="s">
        <v>11</v>
      </c>
      <c r="K100" s="85" t="s">
        <v>12</v>
      </c>
      <c r="L100" s="86" t="s">
        <v>13</v>
      </c>
      <c r="M100" s="9"/>
      <c r="N100"/>
      <c r="O100"/>
      <c r="P100"/>
      <c r="Q100"/>
      <c r="R100"/>
      <c r="S100"/>
      <c r="T100"/>
    </row>
    <row r="101" spans="3:20" ht="15.75" x14ac:dyDescent="0.25">
      <c r="C101" s="87"/>
      <c r="D101" s="88"/>
      <c r="E101" s="88"/>
      <c r="F101" s="89" t="s">
        <v>10</v>
      </c>
      <c r="G101" s="129"/>
      <c r="H101" s="129"/>
      <c r="I101" s="78"/>
      <c r="J101" s="90">
        <f t="shared" ref="J101:J106" si="12">J102-1</f>
        <v>1</v>
      </c>
      <c r="K101" s="91">
        <v>0.7</v>
      </c>
      <c r="L101" s="66">
        <f>AMI_Table!$B$13*'AMI &amp; Rent'!$C98</f>
        <v>90720</v>
      </c>
      <c r="M101" s="10"/>
      <c r="N101"/>
      <c r="O101"/>
      <c r="P101"/>
      <c r="Q101"/>
      <c r="R101"/>
      <c r="S101"/>
      <c r="T101"/>
    </row>
    <row r="102" spans="3:20" ht="33.950000000000003" customHeight="1" x14ac:dyDescent="0.25">
      <c r="C102" s="92"/>
      <c r="D102" s="93" t="s">
        <v>14</v>
      </c>
      <c r="E102" s="94" t="s">
        <v>15</v>
      </c>
      <c r="F102" s="95" t="s">
        <v>13</v>
      </c>
      <c r="G102" s="130"/>
      <c r="H102" s="130"/>
      <c r="I102" s="78"/>
      <c r="J102" s="90">
        <f t="shared" si="12"/>
        <v>2</v>
      </c>
      <c r="K102" s="91">
        <f>K101+0.1</f>
        <v>0.79999999999999993</v>
      </c>
      <c r="L102" s="66">
        <f>AMI_Table!$C$13*'AMI &amp; Rent'!$C98</f>
        <v>103680</v>
      </c>
      <c r="M102" s="11"/>
      <c r="N102"/>
      <c r="O102"/>
      <c r="P102"/>
      <c r="Q102"/>
      <c r="R102"/>
      <c r="S102"/>
      <c r="T102"/>
    </row>
    <row r="103" spans="3:20" ht="15.75" x14ac:dyDescent="0.25">
      <c r="C103" s="90" t="s">
        <v>1</v>
      </c>
      <c r="D103" s="96">
        <v>1</v>
      </c>
      <c r="E103" s="97">
        <v>0.7</v>
      </c>
      <c r="F103" s="98">
        <f>AMI_Table!$B$13*'AMI &amp; Rent'!$C98</f>
        <v>90720</v>
      </c>
      <c r="G103" s="66">
        <f>ROUNDDOWN(F103*$A$7/12,0)</f>
        <v>2268</v>
      </c>
      <c r="H103" s="99">
        <f>G103-$N$18</f>
        <v>2172</v>
      </c>
      <c r="I103" s="78"/>
      <c r="J103" s="90">
        <f t="shared" si="12"/>
        <v>3</v>
      </c>
      <c r="K103" s="91">
        <f>K102+0.1</f>
        <v>0.89999999999999991</v>
      </c>
      <c r="L103" s="66">
        <f>AMI_Table!$D$13*'AMI &amp; Rent'!$C98</f>
        <v>116640</v>
      </c>
      <c r="M103" s="12"/>
      <c r="N103"/>
      <c r="O103"/>
      <c r="P103"/>
      <c r="Q103"/>
      <c r="R103"/>
      <c r="S103"/>
      <c r="T103"/>
    </row>
    <row r="104" spans="3:20" ht="15.75" x14ac:dyDescent="0.25">
      <c r="C104" s="90" t="s">
        <v>2</v>
      </c>
      <c r="D104" s="96">
        <v>1.5</v>
      </c>
      <c r="E104" s="97">
        <v>0.75</v>
      </c>
      <c r="F104" s="98">
        <f>AVERAGE(L101:L102)</f>
        <v>97200</v>
      </c>
      <c r="G104" s="66">
        <f>ROUNDDOWN(F104*$A$7/12,0)</f>
        <v>2430</v>
      </c>
      <c r="H104" s="99">
        <f>G104-$N$19</f>
        <v>2321</v>
      </c>
      <c r="I104" s="78"/>
      <c r="J104" s="90">
        <f t="shared" si="12"/>
        <v>4</v>
      </c>
      <c r="K104" s="91">
        <f>K103+0.1</f>
        <v>0.99999999999999989</v>
      </c>
      <c r="L104" s="66">
        <f>AMI_Table!$E$13*'AMI &amp; Rent'!$C98</f>
        <v>129600</v>
      </c>
      <c r="M104" s="12"/>
      <c r="N104"/>
      <c r="O104"/>
      <c r="P104"/>
      <c r="Q104"/>
      <c r="R104"/>
      <c r="S104"/>
      <c r="T104"/>
    </row>
    <row r="105" spans="3:20" ht="15.75" x14ac:dyDescent="0.25">
      <c r="C105" s="90" t="s">
        <v>4</v>
      </c>
      <c r="D105" s="96">
        <v>3</v>
      </c>
      <c r="E105" s="97">
        <v>0.9</v>
      </c>
      <c r="F105" s="98">
        <f>L103</f>
        <v>116640</v>
      </c>
      <c r="G105" s="66">
        <f>ROUNDDOWN(F105*$A$7/12,0)</f>
        <v>2916</v>
      </c>
      <c r="H105" s="99">
        <f>G105-$N$20</f>
        <v>2772</v>
      </c>
      <c r="I105" s="78"/>
      <c r="J105" s="90">
        <f t="shared" si="12"/>
        <v>5</v>
      </c>
      <c r="K105" s="91">
        <f>K104+0.08</f>
        <v>1.0799999999999998</v>
      </c>
      <c r="L105" s="66">
        <f>AMI_Table!$F$13*'AMI &amp; Rent'!$C98</f>
        <v>140000</v>
      </c>
      <c r="M105" s="12"/>
      <c r="N105"/>
      <c r="O105"/>
      <c r="P105"/>
      <c r="Q105"/>
      <c r="R105"/>
      <c r="S105"/>
      <c r="T105"/>
    </row>
    <row r="106" spans="3:20" ht="15.75" x14ac:dyDescent="0.25">
      <c r="C106" s="90" t="s">
        <v>5</v>
      </c>
      <c r="D106" s="96">
        <v>4.5</v>
      </c>
      <c r="E106" s="97">
        <v>1.04</v>
      </c>
      <c r="F106" s="98">
        <f>AVERAGE(L104:L105)</f>
        <v>134800</v>
      </c>
      <c r="G106" s="66">
        <f>ROUNDDOWN(F106*$A$7/12,0)</f>
        <v>3370</v>
      </c>
      <c r="H106" s="99">
        <f>G106-$N$21</f>
        <v>3192</v>
      </c>
      <c r="I106" s="78"/>
      <c r="J106" s="90">
        <f t="shared" si="12"/>
        <v>6</v>
      </c>
      <c r="K106" s="91">
        <f>K105+0.08</f>
        <v>1.1599999999999999</v>
      </c>
      <c r="L106" s="66">
        <f>AMI_Table!$G$13*'AMI &amp; Rent'!$C98</f>
        <v>150400</v>
      </c>
      <c r="M106" s="12"/>
      <c r="N106"/>
      <c r="O106"/>
      <c r="P106"/>
      <c r="Q106"/>
      <c r="R106"/>
      <c r="S106"/>
      <c r="T106"/>
    </row>
    <row r="107" spans="3:20" ht="15.75" x14ac:dyDescent="0.25">
      <c r="C107" s="90" t="s">
        <v>6</v>
      </c>
      <c r="D107" s="96">
        <v>6</v>
      </c>
      <c r="E107" s="97">
        <v>1.1599999999999999</v>
      </c>
      <c r="F107" s="98">
        <f>L106</f>
        <v>150400</v>
      </c>
      <c r="G107" s="66">
        <f>ROUNDDOWN(F107*$A$7/12,0)</f>
        <v>3760</v>
      </c>
      <c r="H107" s="99">
        <f>G107-$N$22</f>
        <v>3547</v>
      </c>
      <c r="I107" s="78"/>
      <c r="J107" s="90">
        <f>J108-1</f>
        <v>7</v>
      </c>
      <c r="K107" s="91">
        <f>K106+0.08</f>
        <v>1.24</v>
      </c>
      <c r="L107" s="66">
        <f>AMI_Table!$H$13*'AMI &amp; Rent'!$C98</f>
        <v>160720</v>
      </c>
      <c r="M107" s="12"/>
      <c r="N107"/>
      <c r="O107"/>
      <c r="P107"/>
      <c r="Q107"/>
      <c r="R107"/>
      <c r="S107"/>
      <c r="T107"/>
    </row>
    <row r="108" spans="3:20" ht="15.75" x14ac:dyDescent="0.25">
      <c r="C108" s="90" t="s">
        <v>7</v>
      </c>
      <c r="D108" s="96">
        <v>7.5</v>
      </c>
      <c r="E108" s="97">
        <f>1.28</f>
        <v>1.28</v>
      </c>
      <c r="F108" s="98">
        <f>AVERAGE(L107:L108)</f>
        <v>165920</v>
      </c>
      <c r="G108" s="66">
        <f t="shared" ref="G108" si="13">ROUNDDOWN(F108*$A$7/12,0)</f>
        <v>4148</v>
      </c>
      <c r="H108" s="99">
        <f>G108-$N$23</f>
        <v>3900</v>
      </c>
      <c r="I108" s="78"/>
      <c r="J108" s="90">
        <v>8</v>
      </c>
      <c r="K108" s="91">
        <f>K107+0.08</f>
        <v>1.32</v>
      </c>
      <c r="L108" s="66">
        <f>AMI_Table!$I$13*'AMI &amp; Rent'!$C98</f>
        <v>171120</v>
      </c>
      <c r="M108" s="12"/>
      <c r="N108"/>
      <c r="O108"/>
      <c r="P108"/>
      <c r="Q108"/>
      <c r="R108"/>
      <c r="S108"/>
      <c r="T108"/>
    </row>
    <row r="109" spans="3:20" x14ac:dyDescent="0.2">
      <c r="C109" s="77"/>
      <c r="D109" s="77"/>
      <c r="E109" s="77"/>
      <c r="F109" s="77"/>
      <c r="G109" s="108"/>
      <c r="H109" s="78"/>
      <c r="I109" s="78"/>
      <c r="J109" s="77"/>
      <c r="K109" s="77"/>
      <c r="L109" s="77"/>
      <c r="N109"/>
      <c r="O109"/>
      <c r="P109"/>
      <c r="Q109"/>
      <c r="R109"/>
      <c r="S109"/>
      <c r="T109"/>
    </row>
    <row r="110" spans="3:20" x14ac:dyDescent="0.2">
      <c r="C110" s="77"/>
      <c r="D110" s="77"/>
      <c r="E110" s="77"/>
      <c r="F110" s="77"/>
      <c r="G110" s="108"/>
      <c r="H110" s="78"/>
      <c r="I110" s="78"/>
      <c r="J110" s="77"/>
      <c r="K110" s="77"/>
      <c r="L110" s="77"/>
      <c r="N110"/>
      <c r="O110"/>
      <c r="P110"/>
      <c r="Q110"/>
      <c r="R110"/>
      <c r="S110"/>
      <c r="T110"/>
    </row>
    <row r="111" spans="3:20" ht="15.75" x14ac:dyDescent="0.25">
      <c r="C111" s="72">
        <v>0.9</v>
      </c>
      <c r="D111" s="73" t="s">
        <v>9</v>
      </c>
      <c r="E111" s="66">
        <f>AMI_Table!$E$13*'AMI &amp; Rent'!$C111</f>
        <v>145800</v>
      </c>
      <c r="F111" s="74" t="s">
        <v>0</v>
      </c>
      <c r="G111" s="75"/>
      <c r="H111" s="78"/>
      <c r="I111" s="78"/>
      <c r="J111" s="102"/>
      <c r="K111" s="102"/>
      <c r="L111" s="77"/>
      <c r="M111" s="3"/>
      <c r="N111"/>
      <c r="O111"/>
      <c r="P111"/>
      <c r="Q111"/>
      <c r="R111"/>
      <c r="S111"/>
      <c r="T111"/>
    </row>
    <row r="112" spans="3:20" x14ac:dyDescent="0.2">
      <c r="C112" s="77"/>
      <c r="D112" s="77"/>
      <c r="E112" s="77"/>
      <c r="F112" s="77"/>
      <c r="G112" s="78"/>
      <c r="H112" s="78"/>
      <c r="I112" s="78"/>
      <c r="J112" s="79"/>
      <c r="K112" s="80"/>
      <c r="L112" s="81" t="s">
        <v>10</v>
      </c>
      <c r="N112"/>
      <c r="O112"/>
      <c r="P112"/>
      <c r="Q112"/>
      <c r="R112"/>
      <c r="S112"/>
      <c r="T112"/>
    </row>
    <row r="113" spans="3:20" ht="15.75" customHeight="1" x14ac:dyDescent="0.25">
      <c r="C113" s="82"/>
      <c r="D113" s="83"/>
      <c r="E113" s="83"/>
      <c r="F113" s="83"/>
      <c r="G113" s="128" t="s">
        <v>32</v>
      </c>
      <c r="H113" s="128" t="s">
        <v>33</v>
      </c>
      <c r="I113" s="78"/>
      <c r="J113" s="84" t="s">
        <v>11</v>
      </c>
      <c r="K113" s="85" t="s">
        <v>12</v>
      </c>
      <c r="L113" s="86" t="s">
        <v>13</v>
      </c>
      <c r="M113" s="9"/>
      <c r="N113"/>
      <c r="O113"/>
      <c r="P113"/>
      <c r="Q113"/>
      <c r="R113"/>
      <c r="S113"/>
      <c r="T113"/>
    </row>
    <row r="114" spans="3:20" ht="15.75" x14ac:dyDescent="0.25">
      <c r="C114" s="87"/>
      <c r="D114" s="88"/>
      <c r="E114" s="88"/>
      <c r="F114" s="89" t="s">
        <v>10</v>
      </c>
      <c r="G114" s="129"/>
      <c r="H114" s="129"/>
      <c r="I114" s="78"/>
      <c r="J114" s="90">
        <f t="shared" ref="J114:J119" si="14">J115-1</f>
        <v>1</v>
      </c>
      <c r="K114" s="91">
        <v>0.7</v>
      </c>
      <c r="L114" s="66">
        <f>AMI_Table!$B$13*'AMI &amp; Rent'!$C111</f>
        <v>102060</v>
      </c>
      <c r="M114" s="10"/>
      <c r="N114"/>
      <c r="O114"/>
      <c r="P114"/>
      <c r="Q114"/>
      <c r="R114"/>
      <c r="S114"/>
      <c r="T114"/>
    </row>
    <row r="115" spans="3:20" ht="33" customHeight="1" x14ac:dyDescent="0.25">
      <c r="C115" s="92"/>
      <c r="D115" s="93" t="s">
        <v>14</v>
      </c>
      <c r="E115" s="94" t="s">
        <v>15</v>
      </c>
      <c r="F115" s="95" t="s">
        <v>13</v>
      </c>
      <c r="G115" s="130"/>
      <c r="H115" s="130"/>
      <c r="I115" s="78"/>
      <c r="J115" s="90">
        <f t="shared" si="14"/>
        <v>2</v>
      </c>
      <c r="K115" s="91">
        <f>K114+0.1</f>
        <v>0.79999999999999993</v>
      </c>
      <c r="L115" s="66">
        <f>AMI_Table!$C$13*'AMI &amp; Rent'!$C111</f>
        <v>116640</v>
      </c>
      <c r="M115" s="11"/>
      <c r="N115"/>
      <c r="O115"/>
      <c r="P115"/>
      <c r="Q115"/>
      <c r="R115"/>
      <c r="S115"/>
      <c r="T115"/>
    </row>
    <row r="116" spans="3:20" ht="15.75" x14ac:dyDescent="0.25">
      <c r="C116" s="90" t="s">
        <v>1</v>
      </c>
      <c r="D116" s="96">
        <v>1</v>
      </c>
      <c r="E116" s="97">
        <v>0.7</v>
      </c>
      <c r="F116" s="98">
        <f>AMI_Table!$B$13*'AMI &amp; Rent'!$C111</f>
        <v>102060</v>
      </c>
      <c r="G116" s="66">
        <f t="shared" ref="G116:G121" si="15">ROUNDDOWN(F116*$A$7/12,0)</f>
        <v>2551</v>
      </c>
      <c r="H116" s="99">
        <f>G116-$N$18</f>
        <v>2455</v>
      </c>
      <c r="I116" s="78"/>
      <c r="J116" s="90">
        <f t="shared" si="14"/>
        <v>3</v>
      </c>
      <c r="K116" s="91">
        <f>K115+0.1</f>
        <v>0.89999999999999991</v>
      </c>
      <c r="L116" s="66">
        <f>AMI_Table!$D$13*'AMI &amp; Rent'!$C111</f>
        <v>131220</v>
      </c>
      <c r="M116" s="12"/>
      <c r="N116"/>
      <c r="O116"/>
      <c r="P116"/>
      <c r="Q116"/>
      <c r="R116"/>
      <c r="S116"/>
      <c r="T116"/>
    </row>
    <row r="117" spans="3:20" ht="15.75" x14ac:dyDescent="0.25">
      <c r="C117" s="90" t="s">
        <v>2</v>
      </c>
      <c r="D117" s="96">
        <v>1.5</v>
      </c>
      <c r="E117" s="97">
        <v>0.75</v>
      </c>
      <c r="F117" s="98">
        <f>AVERAGE(L114:L115)</f>
        <v>109350</v>
      </c>
      <c r="G117" s="66">
        <f t="shared" si="15"/>
        <v>2733</v>
      </c>
      <c r="H117" s="99">
        <f>G117-$N$19</f>
        <v>2624</v>
      </c>
      <c r="I117" s="78"/>
      <c r="J117" s="90">
        <f t="shared" si="14"/>
        <v>4</v>
      </c>
      <c r="K117" s="91">
        <f>K116+0.1</f>
        <v>0.99999999999999989</v>
      </c>
      <c r="L117" s="66">
        <f>AMI_Table!$E$13*'AMI &amp; Rent'!$C111</f>
        <v>145800</v>
      </c>
      <c r="M117" s="12"/>
      <c r="N117"/>
      <c r="O117"/>
      <c r="P117"/>
      <c r="Q117"/>
      <c r="R117"/>
      <c r="S117"/>
      <c r="T117"/>
    </row>
    <row r="118" spans="3:20" ht="15.75" x14ac:dyDescent="0.25">
      <c r="C118" s="90" t="s">
        <v>4</v>
      </c>
      <c r="D118" s="96">
        <v>3</v>
      </c>
      <c r="E118" s="97">
        <v>0.9</v>
      </c>
      <c r="F118" s="98">
        <f>L116</f>
        <v>131220</v>
      </c>
      <c r="G118" s="66">
        <f t="shared" si="15"/>
        <v>3280</v>
      </c>
      <c r="H118" s="99">
        <f>G118-$N$20</f>
        <v>3136</v>
      </c>
      <c r="I118" s="78"/>
      <c r="J118" s="90">
        <f t="shared" si="14"/>
        <v>5</v>
      </c>
      <c r="K118" s="91">
        <f>K117+0.08</f>
        <v>1.0799999999999998</v>
      </c>
      <c r="L118" s="66">
        <f>AMI_Table!$F$13*'AMI &amp; Rent'!$C111</f>
        <v>157500</v>
      </c>
      <c r="M118" s="12"/>
      <c r="N118"/>
      <c r="O118"/>
      <c r="P118"/>
      <c r="Q118"/>
      <c r="R118"/>
      <c r="S118"/>
      <c r="T118"/>
    </row>
    <row r="119" spans="3:20" ht="15.75" x14ac:dyDescent="0.25">
      <c r="C119" s="90" t="s">
        <v>5</v>
      </c>
      <c r="D119" s="96">
        <v>4.5</v>
      </c>
      <c r="E119" s="97">
        <v>1.04</v>
      </c>
      <c r="F119" s="98">
        <f>AVERAGE(L117:L118)</f>
        <v>151650</v>
      </c>
      <c r="G119" s="66">
        <f t="shared" si="15"/>
        <v>3791</v>
      </c>
      <c r="H119" s="99">
        <f>G119-$N$21</f>
        <v>3613</v>
      </c>
      <c r="I119" s="78"/>
      <c r="J119" s="90">
        <f t="shared" si="14"/>
        <v>6</v>
      </c>
      <c r="K119" s="91">
        <f>K118+0.08</f>
        <v>1.1599999999999999</v>
      </c>
      <c r="L119" s="66">
        <f>AMI_Table!$G$13*'AMI &amp; Rent'!$C111</f>
        <v>169200</v>
      </c>
      <c r="M119" s="12"/>
      <c r="N119"/>
      <c r="O119"/>
      <c r="P119"/>
      <c r="Q119"/>
      <c r="R119"/>
      <c r="S119"/>
      <c r="T119"/>
    </row>
    <row r="120" spans="3:20" ht="15.75" x14ac:dyDescent="0.25">
      <c r="C120" s="90" t="s">
        <v>6</v>
      </c>
      <c r="D120" s="96">
        <v>6</v>
      </c>
      <c r="E120" s="97">
        <v>1.1599999999999999</v>
      </c>
      <c r="F120" s="98">
        <f>L119</f>
        <v>169200</v>
      </c>
      <c r="G120" s="66">
        <f t="shared" si="15"/>
        <v>4230</v>
      </c>
      <c r="H120" s="99">
        <f>G120-$N$22</f>
        <v>4017</v>
      </c>
      <c r="I120" s="78"/>
      <c r="J120" s="90">
        <f>J121-1</f>
        <v>7</v>
      </c>
      <c r="K120" s="91">
        <f>K119+0.08</f>
        <v>1.24</v>
      </c>
      <c r="L120" s="66">
        <f>AMI_Table!$H$13*'AMI &amp; Rent'!$C111</f>
        <v>180810</v>
      </c>
      <c r="M120" s="12"/>
      <c r="N120"/>
      <c r="O120"/>
      <c r="P120"/>
      <c r="Q120"/>
      <c r="R120"/>
      <c r="S120"/>
      <c r="T120"/>
    </row>
    <row r="121" spans="3:20" ht="15.75" x14ac:dyDescent="0.25">
      <c r="C121" s="90" t="s">
        <v>7</v>
      </c>
      <c r="D121" s="96">
        <v>7.5</v>
      </c>
      <c r="E121" s="97">
        <f>1.28</f>
        <v>1.28</v>
      </c>
      <c r="F121" s="98">
        <f>AVERAGE(L120:L121)</f>
        <v>186660</v>
      </c>
      <c r="G121" s="66">
        <f t="shared" si="15"/>
        <v>4666</v>
      </c>
      <c r="H121" s="99">
        <f>G121-$N$23</f>
        <v>4418</v>
      </c>
      <c r="I121" s="78"/>
      <c r="J121" s="90">
        <v>8</v>
      </c>
      <c r="K121" s="91">
        <f>K120+0.08</f>
        <v>1.32</v>
      </c>
      <c r="L121" s="66">
        <f>AMI_Table!$I$13*'AMI &amp; Rent'!$C111</f>
        <v>192510</v>
      </c>
      <c r="M121" s="12"/>
      <c r="N121"/>
      <c r="O121"/>
      <c r="P121"/>
      <c r="Q121"/>
      <c r="R121"/>
      <c r="S121"/>
      <c r="T121"/>
    </row>
    <row r="122" spans="3:20" x14ac:dyDescent="0.2">
      <c r="C122" s="77"/>
      <c r="D122" s="77"/>
      <c r="E122" s="77"/>
      <c r="F122" s="77"/>
      <c r="G122" s="108"/>
      <c r="H122" s="124"/>
      <c r="I122" s="124"/>
      <c r="J122" s="102"/>
      <c r="K122" s="102"/>
      <c r="L122" s="102"/>
      <c r="M122" s="3"/>
      <c r="N122"/>
      <c r="O122"/>
      <c r="P122"/>
      <c r="Q122"/>
      <c r="R122"/>
      <c r="S122"/>
      <c r="T122"/>
    </row>
    <row r="123" spans="3:20" x14ac:dyDescent="0.2">
      <c r="C123" s="77"/>
      <c r="D123" s="77"/>
      <c r="E123" s="77"/>
      <c r="F123" s="77"/>
      <c r="G123" s="108"/>
      <c r="H123" s="124"/>
      <c r="I123" s="124"/>
      <c r="J123" s="102"/>
      <c r="K123" s="102"/>
      <c r="L123" s="102"/>
      <c r="M123" s="3"/>
      <c r="N123"/>
      <c r="O123"/>
      <c r="P123"/>
      <c r="Q123"/>
      <c r="R123"/>
      <c r="S123"/>
      <c r="T123"/>
    </row>
    <row r="124" spans="3:20" ht="15.75" x14ac:dyDescent="0.25">
      <c r="C124" s="72">
        <v>1</v>
      </c>
      <c r="D124" s="73" t="s">
        <v>9</v>
      </c>
      <c r="E124" s="66">
        <f>AMI_Table!$E$13*'AMI &amp; Rent'!$C124</f>
        <v>162000</v>
      </c>
      <c r="F124" s="74" t="s">
        <v>0</v>
      </c>
      <c r="G124" s="75"/>
      <c r="H124" s="78"/>
      <c r="I124" s="78"/>
      <c r="J124" s="102"/>
      <c r="K124" s="102"/>
      <c r="L124" s="77"/>
      <c r="M124" s="3"/>
      <c r="N124"/>
      <c r="O124"/>
      <c r="P124"/>
      <c r="Q124"/>
      <c r="R124"/>
      <c r="S124"/>
      <c r="T124"/>
    </row>
    <row r="125" spans="3:20" x14ac:dyDescent="0.2">
      <c r="C125" s="77"/>
      <c r="D125" s="77"/>
      <c r="E125" s="77"/>
      <c r="F125" s="77"/>
      <c r="G125" s="78"/>
      <c r="H125" s="78"/>
      <c r="I125" s="78"/>
      <c r="J125" s="79"/>
      <c r="K125" s="80"/>
      <c r="L125" s="81" t="s">
        <v>10</v>
      </c>
      <c r="N125"/>
      <c r="O125"/>
      <c r="P125"/>
      <c r="Q125"/>
      <c r="R125"/>
      <c r="S125"/>
      <c r="T125"/>
    </row>
    <row r="126" spans="3:20" ht="15.75" customHeight="1" x14ac:dyDescent="0.25">
      <c r="C126" s="82"/>
      <c r="D126" s="83"/>
      <c r="E126" s="83"/>
      <c r="F126" s="83"/>
      <c r="G126" s="128" t="s">
        <v>32</v>
      </c>
      <c r="H126" s="128" t="s">
        <v>33</v>
      </c>
      <c r="I126" s="78"/>
      <c r="J126" s="84" t="s">
        <v>11</v>
      </c>
      <c r="K126" s="85" t="s">
        <v>12</v>
      </c>
      <c r="L126" s="86" t="s">
        <v>13</v>
      </c>
      <c r="M126" s="9"/>
      <c r="N126"/>
      <c r="O126"/>
      <c r="P126"/>
      <c r="Q126"/>
      <c r="R126"/>
      <c r="S126"/>
      <c r="T126"/>
    </row>
    <row r="127" spans="3:20" ht="15.75" x14ac:dyDescent="0.25">
      <c r="C127" s="87"/>
      <c r="D127" s="88"/>
      <c r="E127" s="88"/>
      <c r="F127" s="89" t="s">
        <v>10</v>
      </c>
      <c r="G127" s="129"/>
      <c r="H127" s="129"/>
      <c r="I127" s="78"/>
      <c r="J127" s="90">
        <f t="shared" ref="J127:J132" si="16">J128-1</f>
        <v>1</v>
      </c>
      <c r="K127" s="91">
        <v>0.7</v>
      </c>
      <c r="L127" s="66">
        <f>AMI_Table!$B$13*'AMI &amp; Rent'!$C124</f>
        <v>113400</v>
      </c>
      <c r="M127" s="10"/>
      <c r="N127"/>
      <c r="O127"/>
      <c r="P127"/>
      <c r="Q127"/>
      <c r="R127"/>
      <c r="S127"/>
      <c r="T127"/>
    </row>
    <row r="128" spans="3:20" ht="33" customHeight="1" x14ac:dyDescent="0.25">
      <c r="C128" s="92"/>
      <c r="D128" s="93" t="s">
        <v>14</v>
      </c>
      <c r="E128" s="94" t="s">
        <v>15</v>
      </c>
      <c r="F128" s="95" t="s">
        <v>13</v>
      </c>
      <c r="G128" s="130"/>
      <c r="H128" s="130"/>
      <c r="I128" s="78"/>
      <c r="J128" s="90">
        <f t="shared" si="16"/>
        <v>2</v>
      </c>
      <c r="K128" s="91">
        <f>K127+0.1</f>
        <v>0.79999999999999993</v>
      </c>
      <c r="L128" s="66">
        <f>AMI_Table!$C$13*'AMI &amp; Rent'!$C124</f>
        <v>129600</v>
      </c>
      <c r="M128" s="11"/>
      <c r="N128"/>
      <c r="O128"/>
      <c r="P128"/>
      <c r="Q128"/>
      <c r="R128"/>
      <c r="S128"/>
      <c r="T128"/>
    </row>
    <row r="129" spans="3:20" ht="15.75" x14ac:dyDescent="0.25">
      <c r="C129" s="90" t="s">
        <v>1</v>
      </c>
      <c r="D129" s="96">
        <v>1</v>
      </c>
      <c r="E129" s="97">
        <v>0.7</v>
      </c>
      <c r="F129" s="98">
        <f>AMI_Table!$B$13*'AMI &amp; Rent'!$C124</f>
        <v>113400</v>
      </c>
      <c r="G129" s="66">
        <f t="shared" ref="G129:G134" si="17">ROUNDDOWN(F129*$A$7/12,0)</f>
        <v>2835</v>
      </c>
      <c r="H129" s="99">
        <f>G129-$N$18</f>
        <v>2739</v>
      </c>
      <c r="I129" s="78"/>
      <c r="J129" s="90">
        <f t="shared" si="16"/>
        <v>3</v>
      </c>
      <c r="K129" s="91">
        <f>K128+0.1</f>
        <v>0.89999999999999991</v>
      </c>
      <c r="L129" s="66">
        <f>AMI_Table!$D$13*'AMI &amp; Rent'!$C124</f>
        <v>145800</v>
      </c>
      <c r="M129" s="12"/>
      <c r="N129"/>
      <c r="O129"/>
      <c r="P129"/>
      <c r="Q129"/>
      <c r="R129"/>
      <c r="S129"/>
      <c r="T129"/>
    </row>
    <row r="130" spans="3:20" ht="15.75" x14ac:dyDescent="0.25">
      <c r="C130" s="90" t="s">
        <v>2</v>
      </c>
      <c r="D130" s="96">
        <v>1.5</v>
      </c>
      <c r="E130" s="97">
        <v>0.75</v>
      </c>
      <c r="F130" s="98">
        <f>AVERAGE(L127:L128)</f>
        <v>121500</v>
      </c>
      <c r="G130" s="66">
        <f t="shared" si="17"/>
        <v>3037</v>
      </c>
      <c r="H130" s="99">
        <f>G130-$N$19</f>
        <v>2928</v>
      </c>
      <c r="I130" s="78"/>
      <c r="J130" s="90">
        <f t="shared" si="16"/>
        <v>4</v>
      </c>
      <c r="K130" s="91">
        <f>K129+0.1</f>
        <v>0.99999999999999989</v>
      </c>
      <c r="L130" s="66">
        <f>AMI_Table!$E$13*'AMI &amp; Rent'!$C124</f>
        <v>162000</v>
      </c>
      <c r="M130" s="12"/>
      <c r="N130"/>
      <c r="O130"/>
      <c r="P130"/>
      <c r="Q130"/>
      <c r="R130"/>
      <c r="S130"/>
      <c r="T130"/>
    </row>
    <row r="131" spans="3:20" ht="15.75" x14ac:dyDescent="0.25">
      <c r="C131" s="90" t="s">
        <v>4</v>
      </c>
      <c r="D131" s="96">
        <v>3</v>
      </c>
      <c r="E131" s="97">
        <v>0.9</v>
      </c>
      <c r="F131" s="98">
        <f>L129</f>
        <v>145800</v>
      </c>
      <c r="G131" s="66">
        <f t="shared" si="17"/>
        <v>3645</v>
      </c>
      <c r="H131" s="99">
        <f>G131-$N$20</f>
        <v>3501</v>
      </c>
      <c r="I131" s="78"/>
      <c r="J131" s="90">
        <f t="shared" si="16"/>
        <v>5</v>
      </c>
      <c r="K131" s="91">
        <f>K130+0.08</f>
        <v>1.0799999999999998</v>
      </c>
      <c r="L131" s="66">
        <f>AMI_Table!$F$13*'AMI &amp; Rent'!$C124</f>
        <v>175000</v>
      </c>
      <c r="M131" s="12"/>
      <c r="N131"/>
      <c r="O131"/>
      <c r="P131"/>
      <c r="Q131"/>
      <c r="R131"/>
      <c r="S131"/>
      <c r="T131"/>
    </row>
    <row r="132" spans="3:20" ht="15.75" x14ac:dyDescent="0.25">
      <c r="C132" s="90" t="s">
        <v>5</v>
      </c>
      <c r="D132" s="96">
        <v>4.5</v>
      </c>
      <c r="E132" s="97">
        <v>1.04</v>
      </c>
      <c r="F132" s="98">
        <f>AVERAGE(L130:L131)</f>
        <v>168500</v>
      </c>
      <c r="G132" s="66">
        <f t="shared" si="17"/>
        <v>4212</v>
      </c>
      <c r="H132" s="99">
        <f>G132-$N$21</f>
        <v>4034</v>
      </c>
      <c r="I132" s="78"/>
      <c r="J132" s="90">
        <f t="shared" si="16"/>
        <v>6</v>
      </c>
      <c r="K132" s="91">
        <f>K131+0.08</f>
        <v>1.1599999999999999</v>
      </c>
      <c r="L132" s="66">
        <f>AMI_Table!$G$13*'AMI &amp; Rent'!$C124</f>
        <v>188000</v>
      </c>
      <c r="M132" s="12"/>
      <c r="N132"/>
      <c r="O132"/>
      <c r="P132"/>
      <c r="Q132"/>
      <c r="R132"/>
      <c r="S132"/>
      <c r="T132"/>
    </row>
    <row r="133" spans="3:20" ht="15.75" x14ac:dyDescent="0.25">
      <c r="C133" s="90" t="s">
        <v>6</v>
      </c>
      <c r="D133" s="96">
        <v>6</v>
      </c>
      <c r="E133" s="97">
        <v>1.1599999999999999</v>
      </c>
      <c r="F133" s="98">
        <f>L132</f>
        <v>188000</v>
      </c>
      <c r="G133" s="66">
        <f t="shared" si="17"/>
        <v>4700</v>
      </c>
      <c r="H133" s="99">
        <f>G133-$N$22</f>
        <v>4487</v>
      </c>
      <c r="I133" s="78"/>
      <c r="J133" s="90">
        <f>J134-1</f>
        <v>7</v>
      </c>
      <c r="K133" s="91">
        <f>K132+0.08</f>
        <v>1.24</v>
      </c>
      <c r="L133" s="66">
        <f>AMI_Table!$H$13*'AMI &amp; Rent'!$C124</f>
        <v>200900</v>
      </c>
      <c r="M133" s="12"/>
      <c r="N133"/>
      <c r="O133"/>
      <c r="P133"/>
      <c r="Q133"/>
      <c r="R133"/>
      <c r="S133"/>
      <c r="T133"/>
    </row>
    <row r="134" spans="3:20" ht="15.75" x14ac:dyDescent="0.25">
      <c r="C134" s="90" t="s">
        <v>7</v>
      </c>
      <c r="D134" s="96">
        <v>7.5</v>
      </c>
      <c r="E134" s="97">
        <f>1.28</f>
        <v>1.28</v>
      </c>
      <c r="F134" s="98">
        <f>AVERAGE(L133:L134)</f>
        <v>207400</v>
      </c>
      <c r="G134" s="66">
        <f t="shared" si="17"/>
        <v>5185</v>
      </c>
      <c r="H134" s="99">
        <f>G134-$N$23</f>
        <v>4937</v>
      </c>
      <c r="I134" s="78"/>
      <c r="J134" s="90">
        <v>8</v>
      </c>
      <c r="K134" s="91">
        <f>K133+0.08</f>
        <v>1.32</v>
      </c>
      <c r="L134" s="66">
        <f>AMI_Table!$I$13*'AMI &amp; Rent'!$C124</f>
        <v>213900</v>
      </c>
      <c r="M134" s="12"/>
      <c r="N134"/>
      <c r="O134"/>
      <c r="P134"/>
      <c r="Q134"/>
      <c r="R134"/>
      <c r="S134"/>
      <c r="T134"/>
    </row>
    <row r="135" spans="3:20" s="3" customFormat="1" x14ac:dyDescent="0.2">
      <c r="C135" s="102"/>
      <c r="D135" s="102"/>
      <c r="E135" s="102"/>
      <c r="F135" s="102"/>
      <c r="G135" s="103"/>
      <c r="H135" s="124"/>
      <c r="I135" s="124"/>
      <c r="J135" s="102"/>
      <c r="K135" s="102"/>
      <c r="L135" s="102"/>
      <c r="N135" s="57"/>
      <c r="O135" s="57"/>
      <c r="P135" s="57"/>
      <c r="Q135" s="57"/>
      <c r="R135" s="57"/>
      <c r="S135" s="57"/>
      <c r="T135" s="57"/>
    </row>
    <row r="136" spans="3:20" x14ac:dyDescent="0.2">
      <c r="C136" s="77"/>
      <c r="D136" s="77"/>
      <c r="E136" s="77"/>
      <c r="F136" s="77"/>
      <c r="G136" s="108"/>
      <c r="H136" s="105"/>
      <c r="I136" s="105"/>
      <c r="J136" s="106"/>
      <c r="K136" s="106"/>
      <c r="L136" s="106"/>
      <c r="M136" s="38"/>
      <c r="N136"/>
      <c r="O136"/>
      <c r="P136"/>
      <c r="Q136"/>
      <c r="R136"/>
      <c r="S136"/>
      <c r="T136"/>
    </row>
    <row r="137" spans="3:20" ht="15.75" x14ac:dyDescent="0.25">
      <c r="C137" s="72">
        <v>1.1000000000000001</v>
      </c>
      <c r="D137" s="73" t="s">
        <v>9</v>
      </c>
      <c r="E137" s="66">
        <f>AMI_Table!$E$13*'AMI &amp; Rent'!$C137</f>
        <v>178200</v>
      </c>
      <c r="F137" s="74" t="s">
        <v>0</v>
      </c>
      <c r="G137" s="75"/>
      <c r="H137" s="78"/>
      <c r="I137" s="78"/>
      <c r="J137" s="102"/>
      <c r="K137" s="102"/>
      <c r="L137" s="77"/>
      <c r="M137" s="3"/>
      <c r="N137"/>
      <c r="O137"/>
      <c r="P137"/>
      <c r="Q137"/>
      <c r="R137"/>
      <c r="S137"/>
      <c r="T137"/>
    </row>
    <row r="138" spans="3:20" x14ac:dyDescent="0.2">
      <c r="C138" s="77"/>
      <c r="D138" s="77"/>
      <c r="E138" s="77"/>
      <c r="F138" s="77"/>
      <c r="G138" s="78"/>
      <c r="H138" s="78"/>
      <c r="I138" s="78"/>
      <c r="J138" s="79"/>
      <c r="K138" s="80"/>
      <c r="L138" s="81" t="s">
        <v>10</v>
      </c>
      <c r="N138"/>
      <c r="O138"/>
      <c r="P138"/>
      <c r="Q138"/>
      <c r="R138"/>
      <c r="S138"/>
      <c r="T138"/>
    </row>
    <row r="139" spans="3:20" ht="15.75" customHeight="1" x14ac:dyDescent="0.25">
      <c r="C139" s="82"/>
      <c r="D139" s="83"/>
      <c r="E139" s="83"/>
      <c r="F139" s="83"/>
      <c r="G139" s="128" t="s">
        <v>32</v>
      </c>
      <c r="H139" s="128" t="s">
        <v>33</v>
      </c>
      <c r="I139" s="78"/>
      <c r="J139" s="84" t="s">
        <v>11</v>
      </c>
      <c r="K139" s="85" t="s">
        <v>12</v>
      </c>
      <c r="L139" s="86" t="s">
        <v>13</v>
      </c>
      <c r="M139" s="9"/>
      <c r="N139"/>
      <c r="O139"/>
      <c r="P139"/>
      <c r="Q139"/>
      <c r="R139"/>
      <c r="S139"/>
      <c r="T139"/>
    </row>
    <row r="140" spans="3:20" ht="15.75" x14ac:dyDescent="0.25">
      <c r="C140" s="87"/>
      <c r="D140" s="88"/>
      <c r="E140" s="88"/>
      <c r="F140" s="89" t="s">
        <v>10</v>
      </c>
      <c r="G140" s="129"/>
      <c r="H140" s="129"/>
      <c r="I140" s="78"/>
      <c r="J140" s="90">
        <f t="shared" ref="J140:J145" si="18">J141-1</f>
        <v>1</v>
      </c>
      <c r="K140" s="91">
        <v>0.7</v>
      </c>
      <c r="L140" s="66">
        <f>AMI_Table!$B$13*'AMI &amp; Rent'!$C137</f>
        <v>124740.00000000001</v>
      </c>
      <c r="M140" s="10"/>
      <c r="N140"/>
      <c r="O140"/>
      <c r="P140"/>
      <c r="Q140"/>
      <c r="R140"/>
      <c r="S140"/>
      <c r="T140"/>
    </row>
    <row r="141" spans="3:20" ht="33" customHeight="1" x14ac:dyDescent="0.25">
      <c r="C141" s="92"/>
      <c r="D141" s="93" t="s">
        <v>14</v>
      </c>
      <c r="E141" s="94" t="s">
        <v>15</v>
      </c>
      <c r="F141" s="95" t="s">
        <v>13</v>
      </c>
      <c r="G141" s="130"/>
      <c r="H141" s="130"/>
      <c r="I141" s="78"/>
      <c r="J141" s="90">
        <f t="shared" si="18"/>
        <v>2</v>
      </c>
      <c r="K141" s="91">
        <f>K140+0.1</f>
        <v>0.79999999999999993</v>
      </c>
      <c r="L141" s="66">
        <f>AMI_Table!$C$13*'AMI &amp; Rent'!$C137</f>
        <v>142560</v>
      </c>
      <c r="M141" s="11"/>
      <c r="N141"/>
      <c r="O141"/>
      <c r="P141"/>
      <c r="Q141"/>
      <c r="R141"/>
      <c r="S141"/>
      <c r="T141"/>
    </row>
    <row r="142" spans="3:20" ht="15.75" x14ac:dyDescent="0.25">
      <c r="C142" s="90" t="s">
        <v>1</v>
      </c>
      <c r="D142" s="96">
        <v>1</v>
      </c>
      <c r="E142" s="97">
        <v>0.7</v>
      </c>
      <c r="F142" s="98">
        <f>AMI_Table!$B$13*'AMI &amp; Rent'!$C137</f>
        <v>124740.00000000001</v>
      </c>
      <c r="G142" s="66">
        <f t="shared" ref="G142:G147" si="19">ROUNDDOWN(F142*$A$7/12,0)</f>
        <v>3118</v>
      </c>
      <c r="H142" s="99">
        <f>G142-$N$18</f>
        <v>3022</v>
      </c>
      <c r="I142" s="78"/>
      <c r="J142" s="90">
        <f t="shared" si="18"/>
        <v>3</v>
      </c>
      <c r="K142" s="91">
        <f>K141+0.1</f>
        <v>0.89999999999999991</v>
      </c>
      <c r="L142" s="66">
        <f>AMI_Table!$D$13*'AMI &amp; Rent'!$C137</f>
        <v>160380</v>
      </c>
      <c r="M142" s="12"/>
      <c r="N142"/>
      <c r="O142"/>
      <c r="P142"/>
      <c r="Q142"/>
      <c r="R142"/>
      <c r="S142"/>
      <c r="T142"/>
    </row>
    <row r="143" spans="3:20" ht="15.75" x14ac:dyDescent="0.25">
      <c r="C143" s="90" t="s">
        <v>2</v>
      </c>
      <c r="D143" s="96">
        <v>1.5</v>
      </c>
      <c r="E143" s="97">
        <v>0.75</v>
      </c>
      <c r="F143" s="98">
        <f>AVERAGE(L140:L141)</f>
        <v>133650</v>
      </c>
      <c r="G143" s="66">
        <f t="shared" si="19"/>
        <v>3341</v>
      </c>
      <c r="H143" s="99">
        <f>G143-$N$19</f>
        <v>3232</v>
      </c>
      <c r="I143" s="78"/>
      <c r="J143" s="90">
        <f t="shared" si="18"/>
        <v>4</v>
      </c>
      <c r="K143" s="91">
        <f>K142+0.1</f>
        <v>0.99999999999999989</v>
      </c>
      <c r="L143" s="66">
        <f>AMI_Table!$E$13*'AMI &amp; Rent'!$C137</f>
        <v>178200</v>
      </c>
      <c r="M143" s="12"/>
      <c r="N143"/>
      <c r="O143"/>
      <c r="P143"/>
      <c r="Q143"/>
      <c r="R143"/>
      <c r="S143"/>
      <c r="T143"/>
    </row>
    <row r="144" spans="3:20" ht="15.75" x14ac:dyDescent="0.25">
      <c r="C144" s="90" t="s">
        <v>4</v>
      </c>
      <c r="D144" s="96">
        <v>3</v>
      </c>
      <c r="E144" s="97">
        <v>0.9</v>
      </c>
      <c r="F144" s="98">
        <f>L142</f>
        <v>160380</v>
      </c>
      <c r="G144" s="66">
        <f t="shared" si="19"/>
        <v>4009</v>
      </c>
      <c r="H144" s="99">
        <f>G144-$N$20</f>
        <v>3865</v>
      </c>
      <c r="I144" s="78"/>
      <c r="J144" s="90">
        <f t="shared" si="18"/>
        <v>5</v>
      </c>
      <c r="K144" s="91">
        <f>K143+0.08</f>
        <v>1.0799999999999998</v>
      </c>
      <c r="L144" s="66">
        <f>AMI_Table!$F$13*'AMI &amp; Rent'!$C137</f>
        <v>192500.00000000003</v>
      </c>
      <c r="M144" s="12"/>
      <c r="N144"/>
      <c r="O144"/>
      <c r="P144"/>
      <c r="Q144"/>
      <c r="R144"/>
      <c r="S144"/>
      <c r="T144"/>
    </row>
    <row r="145" spans="3:20" ht="15.75" x14ac:dyDescent="0.25">
      <c r="C145" s="90" t="s">
        <v>5</v>
      </c>
      <c r="D145" s="96">
        <v>4.5</v>
      </c>
      <c r="E145" s="97">
        <v>1.04</v>
      </c>
      <c r="F145" s="98">
        <f>AVERAGE(L143:L144)</f>
        <v>185350</v>
      </c>
      <c r="G145" s="66">
        <f t="shared" si="19"/>
        <v>4633</v>
      </c>
      <c r="H145" s="99">
        <f>G145-$N$21</f>
        <v>4455</v>
      </c>
      <c r="I145" s="78"/>
      <c r="J145" s="90">
        <f t="shared" si="18"/>
        <v>6</v>
      </c>
      <c r="K145" s="91">
        <f>K144+0.08</f>
        <v>1.1599999999999999</v>
      </c>
      <c r="L145" s="66">
        <f>AMI_Table!$G$13*'AMI &amp; Rent'!$C137</f>
        <v>206800.00000000003</v>
      </c>
      <c r="M145" s="12"/>
      <c r="N145"/>
      <c r="O145"/>
      <c r="P145"/>
      <c r="Q145"/>
      <c r="R145"/>
      <c r="S145"/>
      <c r="T145"/>
    </row>
    <row r="146" spans="3:20" ht="15.75" x14ac:dyDescent="0.25">
      <c r="C146" s="90" t="s">
        <v>6</v>
      </c>
      <c r="D146" s="96">
        <v>6</v>
      </c>
      <c r="E146" s="97">
        <v>1.1599999999999999</v>
      </c>
      <c r="F146" s="98">
        <f>L145</f>
        <v>206800.00000000003</v>
      </c>
      <c r="G146" s="66">
        <f t="shared" si="19"/>
        <v>5170</v>
      </c>
      <c r="H146" s="99">
        <f>G146-$N$22</f>
        <v>4957</v>
      </c>
      <c r="I146" s="78"/>
      <c r="J146" s="90">
        <f>J147-1</f>
        <v>7</v>
      </c>
      <c r="K146" s="91">
        <f>K145+0.08</f>
        <v>1.24</v>
      </c>
      <c r="L146" s="66">
        <f>AMI_Table!$H$13*'AMI &amp; Rent'!$C137</f>
        <v>220990.00000000003</v>
      </c>
      <c r="M146" s="12"/>
      <c r="N146"/>
      <c r="O146"/>
      <c r="P146"/>
      <c r="Q146"/>
      <c r="R146"/>
      <c r="S146"/>
      <c r="T146"/>
    </row>
    <row r="147" spans="3:20" ht="15.75" x14ac:dyDescent="0.25">
      <c r="C147" s="90" t="s">
        <v>7</v>
      </c>
      <c r="D147" s="96">
        <v>7.5</v>
      </c>
      <c r="E147" s="97">
        <f>1.28</f>
        <v>1.28</v>
      </c>
      <c r="F147" s="98">
        <f>AVERAGE(L146:L147)</f>
        <v>228140.00000000003</v>
      </c>
      <c r="G147" s="66">
        <f t="shared" si="19"/>
        <v>5703</v>
      </c>
      <c r="H147" s="99">
        <f>G147-$N$23</f>
        <v>5455</v>
      </c>
      <c r="I147" s="78"/>
      <c r="J147" s="90">
        <v>8</v>
      </c>
      <c r="K147" s="91">
        <f>K146+0.08</f>
        <v>1.32</v>
      </c>
      <c r="L147" s="66">
        <f>AMI_Table!$I$13*'AMI &amp; Rent'!$C137</f>
        <v>235290.00000000003</v>
      </c>
      <c r="M147" s="12"/>
      <c r="N147"/>
      <c r="O147"/>
      <c r="P147"/>
      <c r="Q147"/>
      <c r="R147"/>
      <c r="S147"/>
      <c r="T147"/>
    </row>
    <row r="148" spans="3:20" x14ac:dyDescent="0.2">
      <c r="C148" s="77"/>
      <c r="D148" s="77"/>
      <c r="E148" s="77"/>
      <c r="F148" s="77"/>
      <c r="G148" s="108"/>
      <c r="H148" s="78"/>
      <c r="I148" s="78"/>
      <c r="J148" s="77"/>
      <c r="K148" s="77"/>
      <c r="L148" s="77"/>
      <c r="N148"/>
      <c r="O148"/>
      <c r="P148"/>
      <c r="Q148"/>
      <c r="R148"/>
      <c r="S148"/>
      <c r="T148"/>
    </row>
    <row r="149" spans="3:20" x14ac:dyDescent="0.2">
      <c r="C149" s="77"/>
      <c r="D149" s="77"/>
      <c r="E149" s="77"/>
      <c r="F149" s="77"/>
      <c r="G149" s="108"/>
      <c r="H149" s="108"/>
      <c r="I149" s="108"/>
      <c r="J149" s="108"/>
      <c r="K149" s="108"/>
      <c r="L149" s="108"/>
      <c r="N149"/>
      <c r="O149"/>
      <c r="P149"/>
      <c r="Q149"/>
      <c r="R149"/>
      <c r="S149"/>
      <c r="T149"/>
    </row>
    <row r="150" spans="3:20" ht="15.75" x14ac:dyDescent="0.25">
      <c r="C150" s="72">
        <v>1.2</v>
      </c>
      <c r="D150" s="73" t="s">
        <v>9</v>
      </c>
      <c r="E150" s="66">
        <f>AMI_Table!$E$13*'AMI &amp; Rent'!$C150</f>
        <v>194400</v>
      </c>
      <c r="F150" s="74" t="s">
        <v>0</v>
      </c>
      <c r="G150" s="75"/>
      <c r="H150" s="75"/>
      <c r="I150" s="75"/>
      <c r="J150" s="75"/>
      <c r="K150" s="75"/>
      <c r="L150" s="75"/>
      <c r="M150" s="3"/>
      <c r="N150"/>
      <c r="O150"/>
      <c r="P150"/>
      <c r="Q150"/>
      <c r="R150"/>
      <c r="S150"/>
      <c r="T150"/>
    </row>
    <row r="151" spans="3:20" x14ac:dyDescent="0.2">
      <c r="C151" s="77"/>
      <c r="D151" s="77"/>
      <c r="E151" s="77"/>
      <c r="F151" s="77"/>
      <c r="G151" s="78"/>
      <c r="H151" s="78"/>
      <c r="I151" s="78"/>
      <c r="J151" s="79"/>
      <c r="K151" s="80"/>
      <c r="L151" s="81" t="s">
        <v>10</v>
      </c>
      <c r="N151"/>
      <c r="O151"/>
      <c r="P151"/>
      <c r="Q151"/>
      <c r="R151"/>
      <c r="S151"/>
      <c r="T151"/>
    </row>
    <row r="152" spans="3:20" ht="15.75" customHeight="1" x14ac:dyDescent="0.25">
      <c r="C152" s="82"/>
      <c r="D152" s="83"/>
      <c r="E152" s="83"/>
      <c r="F152" s="83"/>
      <c r="G152" s="128" t="s">
        <v>32</v>
      </c>
      <c r="H152" s="128" t="s">
        <v>33</v>
      </c>
      <c r="I152" s="78"/>
      <c r="J152" s="84" t="s">
        <v>11</v>
      </c>
      <c r="K152" s="85" t="s">
        <v>12</v>
      </c>
      <c r="L152" s="86" t="s">
        <v>13</v>
      </c>
      <c r="M152" s="9"/>
      <c r="N152"/>
      <c r="O152"/>
      <c r="P152"/>
      <c r="Q152"/>
      <c r="R152"/>
      <c r="S152"/>
      <c r="T152"/>
    </row>
    <row r="153" spans="3:20" ht="15.75" x14ac:dyDescent="0.25">
      <c r="C153" s="87"/>
      <c r="D153" s="88"/>
      <c r="E153" s="88"/>
      <c r="F153" s="89" t="s">
        <v>10</v>
      </c>
      <c r="G153" s="129"/>
      <c r="H153" s="129"/>
      <c r="I153" s="78"/>
      <c r="J153" s="90">
        <f t="shared" ref="J153:J158" si="20">J154-1</f>
        <v>1</v>
      </c>
      <c r="K153" s="91">
        <v>0.7</v>
      </c>
      <c r="L153" s="66">
        <f>AMI_Table!$B$13*'AMI &amp; Rent'!$C150</f>
        <v>136080</v>
      </c>
      <c r="M153" s="10"/>
      <c r="N153"/>
      <c r="O153"/>
      <c r="P153"/>
      <c r="Q153"/>
      <c r="R153"/>
      <c r="S153"/>
      <c r="T153"/>
    </row>
    <row r="154" spans="3:20" ht="33" customHeight="1" x14ac:dyDescent="0.25">
      <c r="C154" s="92"/>
      <c r="D154" s="93" t="s">
        <v>14</v>
      </c>
      <c r="E154" s="94" t="s">
        <v>15</v>
      </c>
      <c r="F154" s="95" t="s">
        <v>13</v>
      </c>
      <c r="G154" s="130"/>
      <c r="H154" s="130"/>
      <c r="I154" s="78"/>
      <c r="J154" s="90">
        <f t="shared" si="20"/>
        <v>2</v>
      </c>
      <c r="K154" s="91">
        <f>K153+0.1</f>
        <v>0.79999999999999993</v>
      </c>
      <c r="L154" s="66">
        <f>AMI_Table!$C$13*'AMI &amp; Rent'!$C150</f>
        <v>155520</v>
      </c>
      <c r="M154" s="11"/>
      <c r="N154"/>
      <c r="O154"/>
      <c r="P154"/>
      <c r="Q154"/>
      <c r="R154"/>
      <c r="S154"/>
      <c r="T154"/>
    </row>
    <row r="155" spans="3:20" ht="15.75" x14ac:dyDescent="0.25">
      <c r="C155" s="90" t="s">
        <v>1</v>
      </c>
      <c r="D155" s="96">
        <v>1</v>
      </c>
      <c r="E155" s="97">
        <v>0.7</v>
      </c>
      <c r="F155" s="98">
        <f>AMI_Table!$B$13*'AMI &amp; Rent'!$C150</f>
        <v>136080</v>
      </c>
      <c r="G155" s="66">
        <f t="shared" ref="G155:G160" si="21">ROUNDDOWN(F155*$A$7/12,0)</f>
        <v>3402</v>
      </c>
      <c r="H155" s="99">
        <f>G155-$N$18</f>
        <v>3306</v>
      </c>
      <c r="I155" s="78"/>
      <c r="J155" s="90">
        <f t="shared" si="20"/>
        <v>3</v>
      </c>
      <c r="K155" s="91">
        <f>K154+0.1</f>
        <v>0.89999999999999991</v>
      </c>
      <c r="L155" s="66">
        <f>AMI_Table!$D$13*'AMI &amp; Rent'!$C150</f>
        <v>174960</v>
      </c>
      <c r="M155" s="12"/>
      <c r="N155"/>
      <c r="O155"/>
      <c r="P155"/>
      <c r="Q155"/>
      <c r="R155"/>
      <c r="S155"/>
      <c r="T155"/>
    </row>
    <row r="156" spans="3:20" ht="15.75" x14ac:dyDescent="0.25">
      <c r="C156" s="90" t="s">
        <v>2</v>
      </c>
      <c r="D156" s="96">
        <v>1.5</v>
      </c>
      <c r="E156" s="97">
        <v>0.75</v>
      </c>
      <c r="F156" s="98">
        <f>AVERAGE(L153:L154)</f>
        <v>145800</v>
      </c>
      <c r="G156" s="66">
        <f t="shared" si="21"/>
        <v>3645</v>
      </c>
      <c r="H156" s="99">
        <f>G156-$N$19</f>
        <v>3536</v>
      </c>
      <c r="I156" s="78"/>
      <c r="J156" s="90">
        <f t="shared" si="20"/>
        <v>4</v>
      </c>
      <c r="K156" s="91">
        <f>K155+0.1</f>
        <v>0.99999999999999989</v>
      </c>
      <c r="L156" s="66">
        <f>AMI_Table!$E$13*'AMI &amp; Rent'!$C150</f>
        <v>194400</v>
      </c>
      <c r="M156" s="12"/>
      <c r="N156"/>
      <c r="O156"/>
      <c r="P156"/>
      <c r="Q156"/>
      <c r="R156"/>
      <c r="S156"/>
      <c r="T156"/>
    </row>
    <row r="157" spans="3:20" ht="15.75" x14ac:dyDescent="0.25">
      <c r="C157" s="90" t="s">
        <v>4</v>
      </c>
      <c r="D157" s="96">
        <v>3</v>
      </c>
      <c r="E157" s="97">
        <v>0.9</v>
      </c>
      <c r="F157" s="98">
        <f>L155</f>
        <v>174960</v>
      </c>
      <c r="G157" s="66">
        <f t="shared" si="21"/>
        <v>4374</v>
      </c>
      <c r="H157" s="99">
        <f>G157-$N$20</f>
        <v>4230</v>
      </c>
      <c r="I157" s="78"/>
      <c r="J157" s="90">
        <f t="shared" si="20"/>
        <v>5</v>
      </c>
      <c r="K157" s="91">
        <f>K156+0.08</f>
        <v>1.0799999999999998</v>
      </c>
      <c r="L157" s="66">
        <f>AMI_Table!$F$13*'AMI &amp; Rent'!$C150</f>
        <v>210000</v>
      </c>
      <c r="M157" s="12"/>
      <c r="N157"/>
      <c r="O157"/>
      <c r="P157"/>
      <c r="Q157"/>
      <c r="R157"/>
      <c r="S157"/>
      <c r="T157"/>
    </row>
    <row r="158" spans="3:20" ht="15.75" x14ac:dyDescent="0.25">
      <c r="C158" s="90" t="s">
        <v>5</v>
      </c>
      <c r="D158" s="96">
        <v>4.5</v>
      </c>
      <c r="E158" s="97">
        <v>1.04</v>
      </c>
      <c r="F158" s="98">
        <f>AVERAGE(L156:L157)</f>
        <v>202200</v>
      </c>
      <c r="G158" s="66">
        <f t="shared" si="21"/>
        <v>5055</v>
      </c>
      <c r="H158" s="99">
        <f>G158-$N$21</f>
        <v>4877</v>
      </c>
      <c r="I158" s="78"/>
      <c r="J158" s="90">
        <f t="shared" si="20"/>
        <v>6</v>
      </c>
      <c r="K158" s="91">
        <f>K157+0.08</f>
        <v>1.1599999999999999</v>
      </c>
      <c r="L158" s="66">
        <f>AMI_Table!$G$13*'AMI &amp; Rent'!$C150</f>
        <v>225600</v>
      </c>
      <c r="M158" s="12"/>
      <c r="N158"/>
      <c r="O158"/>
      <c r="P158"/>
      <c r="Q158"/>
      <c r="R158"/>
      <c r="S158"/>
      <c r="T158"/>
    </row>
    <row r="159" spans="3:20" ht="15.75" x14ac:dyDescent="0.25">
      <c r="C159" s="90" t="s">
        <v>6</v>
      </c>
      <c r="D159" s="96">
        <v>6</v>
      </c>
      <c r="E159" s="97">
        <v>1.1599999999999999</v>
      </c>
      <c r="F159" s="98">
        <f>L158</f>
        <v>225600</v>
      </c>
      <c r="G159" s="66">
        <f t="shared" si="21"/>
        <v>5640</v>
      </c>
      <c r="H159" s="99">
        <f>G159-$N$22</f>
        <v>5427</v>
      </c>
      <c r="I159" s="78"/>
      <c r="J159" s="90">
        <f>J160-1</f>
        <v>7</v>
      </c>
      <c r="K159" s="91">
        <f>K158+0.08</f>
        <v>1.24</v>
      </c>
      <c r="L159" s="66">
        <f>AMI_Table!$H$13*'AMI &amp; Rent'!$C150</f>
        <v>241080</v>
      </c>
      <c r="M159" s="12"/>
      <c r="N159"/>
      <c r="O159"/>
      <c r="P159"/>
      <c r="Q159"/>
      <c r="R159"/>
      <c r="S159"/>
      <c r="T159"/>
    </row>
    <row r="160" spans="3:20" ht="15.75" x14ac:dyDescent="0.25">
      <c r="C160" s="90" t="s">
        <v>7</v>
      </c>
      <c r="D160" s="96">
        <v>7.5</v>
      </c>
      <c r="E160" s="97">
        <f>1.28</f>
        <v>1.28</v>
      </c>
      <c r="F160" s="98">
        <f>AVERAGE(L159:L160)</f>
        <v>248880</v>
      </c>
      <c r="G160" s="66">
        <f t="shared" si="21"/>
        <v>6222</v>
      </c>
      <c r="H160" s="99">
        <f>G160-$N$23</f>
        <v>5974</v>
      </c>
      <c r="I160" s="78"/>
      <c r="J160" s="90">
        <v>8</v>
      </c>
      <c r="K160" s="91">
        <f>K159+0.08</f>
        <v>1.32</v>
      </c>
      <c r="L160" s="66">
        <f>AMI_Table!$I$13*'AMI &amp; Rent'!$C150</f>
        <v>256680</v>
      </c>
      <c r="M160" s="12"/>
      <c r="N160"/>
      <c r="O160"/>
      <c r="P160"/>
      <c r="Q160"/>
      <c r="R160"/>
      <c r="S160"/>
      <c r="T160"/>
    </row>
    <row r="161" spans="3:20" x14ac:dyDescent="0.2">
      <c r="C161" s="77"/>
      <c r="D161" s="77"/>
      <c r="E161" s="77"/>
      <c r="F161" s="77"/>
      <c r="G161" s="108"/>
      <c r="H161" s="78"/>
      <c r="I161" s="78"/>
      <c r="J161" s="77"/>
      <c r="K161" s="77"/>
      <c r="L161" s="77"/>
      <c r="N161"/>
      <c r="O161"/>
      <c r="P161"/>
      <c r="Q161"/>
      <c r="R161"/>
      <c r="S161"/>
      <c r="T161"/>
    </row>
    <row r="162" spans="3:20" x14ac:dyDescent="0.2">
      <c r="C162" s="77"/>
      <c r="D162" s="77"/>
      <c r="E162" s="77"/>
      <c r="F162" s="77"/>
      <c r="G162" s="104"/>
      <c r="H162" s="105"/>
      <c r="I162" s="105"/>
      <c r="J162" s="106"/>
      <c r="K162" s="106"/>
      <c r="L162" s="106"/>
      <c r="M162"/>
      <c r="N162"/>
      <c r="O162"/>
      <c r="P162"/>
      <c r="Q162"/>
      <c r="R162"/>
      <c r="S162"/>
      <c r="T162"/>
    </row>
    <row r="163" spans="3:20" ht="15.75" x14ac:dyDescent="0.25">
      <c r="C163" s="72">
        <v>1.3</v>
      </c>
      <c r="D163" s="73" t="s">
        <v>9</v>
      </c>
      <c r="E163" s="66">
        <f>AMI_Table!$E$13*'AMI &amp; Rent'!$C163</f>
        <v>210600</v>
      </c>
      <c r="F163" s="74" t="s">
        <v>0</v>
      </c>
      <c r="G163" s="102"/>
      <c r="H163" s="78"/>
      <c r="I163" s="78"/>
      <c r="J163" s="102"/>
      <c r="K163" s="102"/>
      <c r="L163" s="77"/>
      <c r="M163"/>
      <c r="N163"/>
      <c r="O163"/>
      <c r="P163"/>
      <c r="Q163"/>
      <c r="R163"/>
      <c r="S163"/>
      <c r="T163"/>
    </row>
    <row r="164" spans="3:20" x14ac:dyDescent="0.2">
      <c r="C164" s="77"/>
      <c r="D164" s="77"/>
      <c r="E164" s="77"/>
      <c r="F164" s="77"/>
      <c r="G164" s="78"/>
      <c r="H164" s="78"/>
      <c r="I164" s="78"/>
      <c r="J164" s="79"/>
      <c r="K164" s="80"/>
      <c r="L164" s="81" t="s">
        <v>10</v>
      </c>
      <c r="N164"/>
      <c r="O164"/>
      <c r="P164"/>
      <c r="Q164"/>
      <c r="R164"/>
      <c r="S164"/>
      <c r="T164"/>
    </row>
    <row r="165" spans="3:20" ht="15.75" customHeight="1" x14ac:dyDescent="0.25">
      <c r="C165" s="82"/>
      <c r="D165" s="83"/>
      <c r="E165" s="83"/>
      <c r="F165" s="83"/>
      <c r="G165" s="128" t="s">
        <v>32</v>
      </c>
      <c r="H165" s="128" t="s">
        <v>33</v>
      </c>
      <c r="I165" s="78"/>
      <c r="J165" s="84" t="s">
        <v>11</v>
      </c>
      <c r="K165" s="85" t="s">
        <v>12</v>
      </c>
      <c r="L165" s="86" t="s">
        <v>13</v>
      </c>
      <c r="M165" s="9"/>
      <c r="N165"/>
      <c r="O165"/>
      <c r="P165"/>
      <c r="Q165"/>
      <c r="R165"/>
      <c r="S165"/>
      <c r="T165"/>
    </row>
    <row r="166" spans="3:20" ht="15.75" x14ac:dyDescent="0.25">
      <c r="C166" s="87"/>
      <c r="D166" s="88"/>
      <c r="E166" s="88"/>
      <c r="F166" s="89" t="s">
        <v>10</v>
      </c>
      <c r="G166" s="129"/>
      <c r="H166" s="129"/>
      <c r="I166" s="78"/>
      <c r="J166" s="90">
        <f t="shared" ref="J166:J171" si="22">J167-1</f>
        <v>1</v>
      </c>
      <c r="K166" s="91">
        <v>0.7</v>
      </c>
      <c r="L166" s="66">
        <f>AMI_Table!$B$13*'AMI &amp; Rent'!$C163</f>
        <v>147420</v>
      </c>
      <c r="M166" s="10"/>
      <c r="N166"/>
      <c r="O166"/>
      <c r="P166"/>
      <c r="Q166"/>
      <c r="R166"/>
      <c r="S166"/>
      <c r="T166"/>
    </row>
    <row r="167" spans="3:20" ht="30.95" customHeight="1" x14ac:dyDescent="0.25">
      <c r="C167" s="92"/>
      <c r="D167" s="93" t="s">
        <v>14</v>
      </c>
      <c r="E167" s="94" t="s">
        <v>15</v>
      </c>
      <c r="F167" s="95" t="s">
        <v>13</v>
      </c>
      <c r="G167" s="130"/>
      <c r="H167" s="130"/>
      <c r="I167" s="78"/>
      <c r="J167" s="90">
        <f t="shared" si="22"/>
        <v>2</v>
      </c>
      <c r="K167" s="91">
        <f>K166+0.1</f>
        <v>0.79999999999999993</v>
      </c>
      <c r="L167" s="66">
        <f>AMI_Table!$C$13*'AMI &amp; Rent'!$C163</f>
        <v>168480</v>
      </c>
      <c r="M167" s="11"/>
      <c r="N167"/>
      <c r="O167"/>
      <c r="P167"/>
      <c r="Q167"/>
      <c r="R167"/>
      <c r="S167"/>
      <c r="T167"/>
    </row>
    <row r="168" spans="3:20" ht="15.75" x14ac:dyDescent="0.25">
      <c r="C168" s="90" t="s">
        <v>1</v>
      </c>
      <c r="D168" s="96">
        <v>1</v>
      </c>
      <c r="E168" s="97">
        <v>0.7</v>
      </c>
      <c r="F168" s="98">
        <f>AMI_Table!$B$13*'AMI &amp; Rent'!$C163</f>
        <v>147420</v>
      </c>
      <c r="G168" s="66">
        <f t="shared" ref="G168:G173" si="23">ROUNDDOWN(F168*$A$7/12,0)</f>
        <v>3685</v>
      </c>
      <c r="H168" s="99">
        <f>G168-$N$18</f>
        <v>3589</v>
      </c>
      <c r="I168" s="78"/>
      <c r="J168" s="90">
        <f t="shared" si="22"/>
        <v>3</v>
      </c>
      <c r="K168" s="91">
        <f>K167+0.1</f>
        <v>0.89999999999999991</v>
      </c>
      <c r="L168" s="66">
        <f>AMI_Table!$D$13*'AMI &amp; Rent'!$C163</f>
        <v>189540</v>
      </c>
      <c r="M168" s="12"/>
      <c r="N168"/>
      <c r="O168"/>
      <c r="P168"/>
      <c r="Q168"/>
      <c r="R168"/>
      <c r="S168"/>
      <c r="T168"/>
    </row>
    <row r="169" spans="3:20" ht="15.75" x14ac:dyDescent="0.25">
      <c r="C169" s="90" t="s">
        <v>2</v>
      </c>
      <c r="D169" s="96">
        <v>1.5</v>
      </c>
      <c r="E169" s="97">
        <v>0.75</v>
      </c>
      <c r="F169" s="98">
        <f>AVERAGE(L166:L167)</f>
        <v>157950</v>
      </c>
      <c r="G169" s="66">
        <f t="shared" si="23"/>
        <v>3948</v>
      </c>
      <c r="H169" s="99">
        <f>G169-$N$19</f>
        <v>3839</v>
      </c>
      <c r="I169" s="78"/>
      <c r="J169" s="90">
        <f t="shared" si="22"/>
        <v>4</v>
      </c>
      <c r="K169" s="91">
        <f>K168+0.1</f>
        <v>0.99999999999999989</v>
      </c>
      <c r="L169" s="66">
        <f>AMI_Table!$E$13*'AMI &amp; Rent'!$C163</f>
        <v>210600</v>
      </c>
      <c r="M169" s="12"/>
      <c r="N169"/>
      <c r="O169"/>
      <c r="P169"/>
      <c r="Q169"/>
      <c r="R169"/>
      <c r="S169"/>
      <c r="T169"/>
    </row>
    <row r="170" spans="3:20" ht="15.75" x14ac:dyDescent="0.25">
      <c r="C170" s="90" t="s">
        <v>4</v>
      </c>
      <c r="D170" s="96">
        <v>3</v>
      </c>
      <c r="E170" s="97">
        <v>0.9</v>
      </c>
      <c r="F170" s="98">
        <f>L168</f>
        <v>189540</v>
      </c>
      <c r="G170" s="66">
        <f t="shared" si="23"/>
        <v>4738</v>
      </c>
      <c r="H170" s="99">
        <f>G170-$N$20</f>
        <v>4594</v>
      </c>
      <c r="I170" s="78"/>
      <c r="J170" s="90">
        <f t="shared" si="22"/>
        <v>5</v>
      </c>
      <c r="K170" s="91">
        <f>K169+0.08</f>
        <v>1.0799999999999998</v>
      </c>
      <c r="L170" s="66">
        <f>AMI_Table!$F$13*'AMI &amp; Rent'!$C163</f>
        <v>227500</v>
      </c>
      <c r="M170" s="12"/>
      <c r="N170"/>
      <c r="O170"/>
      <c r="P170"/>
      <c r="Q170"/>
      <c r="R170"/>
      <c r="S170"/>
      <c r="T170"/>
    </row>
    <row r="171" spans="3:20" ht="15.75" x14ac:dyDescent="0.25">
      <c r="C171" s="90" t="s">
        <v>5</v>
      </c>
      <c r="D171" s="96">
        <v>4.5</v>
      </c>
      <c r="E171" s="97">
        <v>1.04</v>
      </c>
      <c r="F171" s="98">
        <f>AVERAGE(L169:L170)</f>
        <v>219050</v>
      </c>
      <c r="G171" s="66">
        <f t="shared" si="23"/>
        <v>5476</v>
      </c>
      <c r="H171" s="99">
        <f>G171-$N$21</f>
        <v>5298</v>
      </c>
      <c r="I171" s="78"/>
      <c r="J171" s="90">
        <f t="shared" si="22"/>
        <v>6</v>
      </c>
      <c r="K171" s="91">
        <f>K170+0.08</f>
        <v>1.1599999999999999</v>
      </c>
      <c r="L171" s="66">
        <f>AMI_Table!$G$13*'AMI &amp; Rent'!$C163</f>
        <v>244400</v>
      </c>
      <c r="M171" s="12"/>
      <c r="N171"/>
      <c r="O171"/>
      <c r="P171"/>
      <c r="Q171"/>
      <c r="R171"/>
      <c r="S171"/>
      <c r="T171"/>
    </row>
    <row r="172" spans="3:20" ht="15.75" x14ac:dyDescent="0.25">
      <c r="C172" s="90" t="s">
        <v>6</v>
      </c>
      <c r="D172" s="96">
        <v>6</v>
      </c>
      <c r="E172" s="97">
        <v>1.1599999999999999</v>
      </c>
      <c r="F172" s="98">
        <f>L171</f>
        <v>244400</v>
      </c>
      <c r="G172" s="66">
        <f t="shared" si="23"/>
        <v>6110</v>
      </c>
      <c r="H172" s="99">
        <f>G172-$N$22</f>
        <v>5897</v>
      </c>
      <c r="I172" s="78"/>
      <c r="J172" s="90">
        <f>J173-1</f>
        <v>7</v>
      </c>
      <c r="K172" s="91">
        <f>K171+0.08</f>
        <v>1.24</v>
      </c>
      <c r="L172" s="66">
        <f>AMI_Table!$H$13*'AMI &amp; Rent'!$C163</f>
        <v>261170</v>
      </c>
      <c r="M172" s="12"/>
      <c r="N172"/>
      <c r="O172"/>
      <c r="P172"/>
      <c r="Q172"/>
      <c r="R172"/>
      <c r="S172"/>
      <c r="T172"/>
    </row>
    <row r="173" spans="3:20" ht="15.75" x14ac:dyDescent="0.25">
      <c r="C173" s="90" t="s">
        <v>7</v>
      </c>
      <c r="D173" s="96">
        <v>7.5</v>
      </c>
      <c r="E173" s="97">
        <f>1.28</f>
        <v>1.28</v>
      </c>
      <c r="F173" s="98">
        <f>AVERAGE(L172:L173)</f>
        <v>269620</v>
      </c>
      <c r="G173" s="66">
        <f t="shared" si="23"/>
        <v>6740</v>
      </c>
      <c r="H173" s="99">
        <f>G173-$N$23</f>
        <v>6492</v>
      </c>
      <c r="I173" s="78"/>
      <c r="J173" s="90">
        <v>8</v>
      </c>
      <c r="K173" s="91">
        <f>K172+0.08</f>
        <v>1.32</v>
      </c>
      <c r="L173" s="66">
        <f>AMI_Table!$I$13*'AMI &amp; Rent'!$C163</f>
        <v>278070</v>
      </c>
      <c r="M173" s="12"/>
      <c r="N173"/>
      <c r="O173"/>
      <c r="P173"/>
      <c r="Q173"/>
      <c r="R173"/>
      <c r="S173"/>
      <c r="T173"/>
    </row>
    <row r="174" spans="3:20" x14ac:dyDescent="0.2">
      <c r="C174" s="77"/>
      <c r="D174" s="77"/>
      <c r="E174" s="77"/>
      <c r="F174" s="77"/>
      <c r="G174" s="108"/>
      <c r="H174" s="78"/>
      <c r="I174" s="78"/>
      <c r="J174" s="77"/>
      <c r="K174" s="77"/>
      <c r="L174" s="77"/>
      <c r="N174"/>
      <c r="O174"/>
      <c r="P174"/>
      <c r="Q174"/>
      <c r="R174"/>
      <c r="S174"/>
      <c r="T174"/>
    </row>
    <row r="175" spans="3:20" x14ac:dyDescent="0.2">
      <c r="C175" s="77"/>
      <c r="D175" s="77"/>
      <c r="E175" s="77"/>
      <c r="F175" s="77"/>
      <c r="G175" s="104"/>
      <c r="H175" s="105"/>
      <c r="I175" s="105"/>
      <c r="J175" s="106"/>
      <c r="K175" s="106"/>
      <c r="L175" s="106"/>
      <c r="M175" s="3"/>
      <c r="N175"/>
      <c r="O175"/>
      <c r="P175"/>
      <c r="Q175"/>
      <c r="R175"/>
      <c r="S175"/>
      <c r="T175"/>
    </row>
    <row r="176" spans="3:20" ht="15.75" x14ac:dyDescent="0.25">
      <c r="C176" s="72">
        <v>1.35</v>
      </c>
      <c r="D176" s="73" t="s">
        <v>9</v>
      </c>
      <c r="E176" s="66">
        <f>AMI_Table!$E$13*'AMI &amp; Rent'!$C176</f>
        <v>218700</v>
      </c>
      <c r="F176" s="74" t="s">
        <v>0</v>
      </c>
      <c r="G176" s="102"/>
      <c r="H176" s="78"/>
      <c r="I176" s="78"/>
      <c r="J176" s="102"/>
      <c r="K176" s="102"/>
      <c r="L176" s="77"/>
      <c r="M176" s="3"/>
      <c r="N176"/>
      <c r="O176"/>
      <c r="P176"/>
      <c r="Q176"/>
      <c r="R176"/>
      <c r="S176"/>
      <c r="T176"/>
    </row>
    <row r="177" spans="3:20" x14ac:dyDescent="0.2">
      <c r="C177" s="77"/>
      <c r="D177" s="77"/>
      <c r="E177" s="77"/>
      <c r="F177" s="77"/>
      <c r="G177" s="78"/>
      <c r="H177" s="78"/>
      <c r="I177" s="78"/>
      <c r="J177" s="79"/>
      <c r="K177" s="80"/>
      <c r="L177" s="81" t="s">
        <v>10</v>
      </c>
      <c r="M177" s="3"/>
      <c r="N177"/>
      <c r="O177"/>
      <c r="P177"/>
      <c r="Q177"/>
      <c r="R177"/>
      <c r="S177"/>
      <c r="T177"/>
    </row>
    <row r="178" spans="3:20" ht="15.75" x14ac:dyDescent="0.25">
      <c r="C178" s="82"/>
      <c r="D178" s="83"/>
      <c r="E178" s="83"/>
      <c r="F178" s="83"/>
      <c r="G178" s="128" t="s">
        <v>32</v>
      </c>
      <c r="H178" s="128" t="s">
        <v>33</v>
      </c>
      <c r="I178" s="78"/>
      <c r="J178" s="84" t="s">
        <v>11</v>
      </c>
      <c r="K178" s="85" t="s">
        <v>12</v>
      </c>
      <c r="L178" s="86" t="s">
        <v>13</v>
      </c>
      <c r="M178" s="3"/>
      <c r="N178"/>
      <c r="O178"/>
      <c r="P178"/>
      <c r="Q178"/>
      <c r="R178"/>
      <c r="S178"/>
      <c r="T178"/>
    </row>
    <row r="179" spans="3:20" ht="15.75" x14ac:dyDescent="0.25">
      <c r="C179" s="87"/>
      <c r="D179" s="88"/>
      <c r="E179" s="88"/>
      <c r="F179" s="89" t="s">
        <v>10</v>
      </c>
      <c r="G179" s="129"/>
      <c r="H179" s="129"/>
      <c r="I179" s="78"/>
      <c r="J179" s="90">
        <f t="shared" ref="J179:J184" si="24">J180-1</f>
        <v>1</v>
      </c>
      <c r="K179" s="91">
        <v>0.7</v>
      </c>
      <c r="L179" s="66">
        <f>AMI_Table!$B$13*'AMI &amp; Rent'!$C176</f>
        <v>153090</v>
      </c>
      <c r="M179" s="3"/>
      <c r="N179"/>
      <c r="O179"/>
      <c r="P179"/>
      <c r="Q179"/>
      <c r="R179"/>
      <c r="S179"/>
      <c r="T179"/>
    </row>
    <row r="180" spans="3:20" ht="27.75" customHeight="1" x14ac:dyDescent="0.25">
      <c r="C180" s="92"/>
      <c r="D180" s="93" t="s">
        <v>14</v>
      </c>
      <c r="E180" s="94" t="s">
        <v>15</v>
      </c>
      <c r="F180" s="95" t="s">
        <v>13</v>
      </c>
      <c r="G180" s="130"/>
      <c r="H180" s="130"/>
      <c r="I180" s="78"/>
      <c r="J180" s="90">
        <f t="shared" si="24"/>
        <v>2</v>
      </c>
      <c r="K180" s="91">
        <f>K179+0.1</f>
        <v>0.79999999999999993</v>
      </c>
      <c r="L180" s="66">
        <f>AMI_Table!$C$13*'AMI &amp; Rent'!$C176</f>
        <v>174960</v>
      </c>
      <c r="M180" s="3"/>
      <c r="N180"/>
      <c r="O180"/>
      <c r="P180"/>
      <c r="Q180"/>
      <c r="R180"/>
      <c r="S180"/>
      <c r="T180"/>
    </row>
    <row r="181" spans="3:20" ht="15.75" x14ac:dyDescent="0.25">
      <c r="C181" s="90" t="s">
        <v>1</v>
      </c>
      <c r="D181" s="96">
        <v>1</v>
      </c>
      <c r="E181" s="97">
        <v>0.7</v>
      </c>
      <c r="F181" s="98">
        <f>AMI_Table!$B$13*'AMI &amp; Rent'!$C176</f>
        <v>153090</v>
      </c>
      <c r="G181" s="66">
        <f t="shared" ref="G181:G186" si="25">ROUNDDOWN(F181*$A$7/12,0)</f>
        <v>3827</v>
      </c>
      <c r="H181" s="99">
        <f>G181-$N$18</f>
        <v>3731</v>
      </c>
      <c r="I181" s="78"/>
      <c r="J181" s="90">
        <f t="shared" si="24"/>
        <v>3</v>
      </c>
      <c r="K181" s="91">
        <f>K180+0.1</f>
        <v>0.89999999999999991</v>
      </c>
      <c r="L181" s="66">
        <f>AMI_Table!$D$13*'AMI &amp; Rent'!$C176</f>
        <v>196830</v>
      </c>
      <c r="M181" s="3"/>
      <c r="N181"/>
      <c r="O181"/>
      <c r="P181"/>
      <c r="Q181"/>
      <c r="R181"/>
      <c r="S181"/>
      <c r="T181"/>
    </row>
    <row r="182" spans="3:20" ht="15.75" x14ac:dyDescent="0.25">
      <c r="C182" s="90" t="s">
        <v>2</v>
      </c>
      <c r="D182" s="96">
        <v>1.5</v>
      </c>
      <c r="E182" s="97">
        <v>0.75</v>
      </c>
      <c r="F182" s="98">
        <f>AVERAGE(L179:L180)</f>
        <v>164025</v>
      </c>
      <c r="G182" s="66">
        <f t="shared" si="25"/>
        <v>4100</v>
      </c>
      <c r="H182" s="99">
        <f>G182-$N$19</f>
        <v>3991</v>
      </c>
      <c r="I182" s="78"/>
      <c r="J182" s="90">
        <f t="shared" si="24"/>
        <v>4</v>
      </c>
      <c r="K182" s="91">
        <f>K181+0.1</f>
        <v>0.99999999999999989</v>
      </c>
      <c r="L182" s="66">
        <f>AMI_Table!$E$13*'AMI &amp; Rent'!$C176</f>
        <v>218700</v>
      </c>
      <c r="M182" s="3"/>
      <c r="N182"/>
      <c r="O182"/>
      <c r="P182"/>
      <c r="Q182"/>
      <c r="R182"/>
      <c r="S182"/>
      <c r="T182"/>
    </row>
    <row r="183" spans="3:20" ht="15.75" x14ac:dyDescent="0.25">
      <c r="C183" s="90" t="s">
        <v>4</v>
      </c>
      <c r="D183" s="96">
        <v>3</v>
      </c>
      <c r="E183" s="97">
        <v>0.9</v>
      </c>
      <c r="F183" s="98">
        <f>L181</f>
        <v>196830</v>
      </c>
      <c r="G183" s="66">
        <f t="shared" si="25"/>
        <v>4920</v>
      </c>
      <c r="H183" s="99">
        <f>G183-$N$20</f>
        <v>4776</v>
      </c>
      <c r="I183" s="78"/>
      <c r="J183" s="90">
        <f t="shared" si="24"/>
        <v>5</v>
      </c>
      <c r="K183" s="91">
        <f>K182+0.08</f>
        <v>1.0799999999999998</v>
      </c>
      <c r="L183" s="66">
        <f>AMI_Table!$F$13*'AMI &amp; Rent'!$C176</f>
        <v>236250.00000000003</v>
      </c>
      <c r="M183" s="3"/>
      <c r="N183"/>
      <c r="O183"/>
      <c r="P183"/>
      <c r="Q183"/>
      <c r="R183"/>
      <c r="S183"/>
      <c r="T183"/>
    </row>
    <row r="184" spans="3:20" ht="15.75" x14ac:dyDescent="0.25">
      <c r="C184" s="90" t="s">
        <v>5</v>
      </c>
      <c r="D184" s="96">
        <v>4.5</v>
      </c>
      <c r="E184" s="97">
        <v>1.04</v>
      </c>
      <c r="F184" s="98">
        <f>AVERAGE(L182:L183)</f>
        <v>227475</v>
      </c>
      <c r="G184" s="66">
        <f t="shared" si="25"/>
        <v>5686</v>
      </c>
      <c r="H184" s="99">
        <f>G184-$N$21</f>
        <v>5508</v>
      </c>
      <c r="I184" s="78"/>
      <c r="J184" s="90">
        <f t="shared" si="24"/>
        <v>6</v>
      </c>
      <c r="K184" s="91">
        <f>K183+0.08</f>
        <v>1.1599999999999999</v>
      </c>
      <c r="L184" s="66">
        <f>AMI_Table!$G$13*'AMI &amp; Rent'!$C176</f>
        <v>253800.00000000003</v>
      </c>
      <c r="M184" s="3"/>
      <c r="N184"/>
      <c r="O184"/>
      <c r="P184"/>
      <c r="Q184"/>
      <c r="R184"/>
      <c r="S184"/>
      <c r="T184"/>
    </row>
    <row r="185" spans="3:20" ht="15.75" x14ac:dyDescent="0.25">
      <c r="C185" s="90" t="s">
        <v>6</v>
      </c>
      <c r="D185" s="96">
        <v>6</v>
      </c>
      <c r="E185" s="97">
        <v>1.1599999999999999</v>
      </c>
      <c r="F185" s="98">
        <f>L184</f>
        <v>253800.00000000003</v>
      </c>
      <c r="G185" s="66">
        <f t="shared" si="25"/>
        <v>6345</v>
      </c>
      <c r="H185" s="99">
        <f>G185-$N$22</f>
        <v>6132</v>
      </c>
      <c r="I185" s="78"/>
      <c r="J185" s="90">
        <f>J186-1</f>
        <v>7</v>
      </c>
      <c r="K185" s="91">
        <f>K184+0.08</f>
        <v>1.24</v>
      </c>
      <c r="L185" s="66">
        <f>AMI_Table!$H$13*'AMI &amp; Rent'!$C176</f>
        <v>271215</v>
      </c>
      <c r="M185" s="3"/>
      <c r="N185"/>
      <c r="O185"/>
      <c r="P185"/>
      <c r="Q185"/>
      <c r="R185"/>
      <c r="S185"/>
      <c r="T185"/>
    </row>
    <row r="186" spans="3:20" ht="15.75" x14ac:dyDescent="0.25">
      <c r="C186" s="90" t="s">
        <v>7</v>
      </c>
      <c r="D186" s="96">
        <v>7.5</v>
      </c>
      <c r="E186" s="97">
        <f>1.28</f>
        <v>1.28</v>
      </c>
      <c r="F186" s="98">
        <f>AVERAGE(L185:L186)</f>
        <v>279990</v>
      </c>
      <c r="G186" s="66">
        <f t="shared" si="25"/>
        <v>6999</v>
      </c>
      <c r="H186" s="99">
        <f>G186-$N$23</f>
        <v>6751</v>
      </c>
      <c r="I186" s="78"/>
      <c r="J186" s="90">
        <v>8</v>
      </c>
      <c r="K186" s="91">
        <f>K185+0.08</f>
        <v>1.32</v>
      </c>
      <c r="L186" s="66">
        <f>AMI_Table!$I$13*'AMI &amp; Rent'!$C176</f>
        <v>288765</v>
      </c>
      <c r="M186" s="3"/>
      <c r="N186"/>
      <c r="O186"/>
      <c r="P186"/>
      <c r="Q186"/>
      <c r="R186"/>
      <c r="S186"/>
      <c r="T186"/>
    </row>
    <row r="187" spans="3:20" x14ac:dyDescent="0.2"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3"/>
      <c r="N187"/>
      <c r="O187"/>
      <c r="P187"/>
      <c r="Q187"/>
      <c r="R187"/>
      <c r="S187"/>
      <c r="T187"/>
    </row>
    <row r="188" spans="3:20" x14ac:dyDescent="0.2"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3"/>
      <c r="N188"/>
      <c r="O188"/>
      <c r="P188"/>
      <c r="Q188"/>
      <c r="R188"/>
      <c r="S188"/>
      <c r="T188"/>
    </row>
    <row r="189" spans="3:20" ht="15.75" x14ac:dyDescent="0.25">
      <c r="C189" s="72">
        <v>1.75</v>
      </c>
      <c r="D189" s="73" t="s">
        <v>9</v>
      </c>
      <c r="E189" s="66">
        <f>AMI_Table!$E$13*'AMI &amp; Rent'!$C189</f>
        <v>283500</v>
      </c>
      <c r="F189" s="74" t="s">
        <v>0</v>
      </c>
      <c r="G189" s="74"/>
      <c r="H189" s="74"/>
      <c r="I189" s="74"/>
      <c r="J189" s="74"/>
      <c r="K189" s="74"/>
      <c r="L189" s="74"/>
      <c r="M189" s="3"/>
      <c r="N189"/>
      <c r="O189"/>
      <c r="P189"/>
      <c r="Q189"/>
      <c r="R189"/>
      <c r="S189"/>
      <c r="T189"/>
    </row>
    <row r="190" spans="3:20" x14ac:dyDescent="0.2">
      <c r="C190" s="77"/>
      <c r="D190" s="77"/>
      <c r="E190" s="77"/>
      <c r="F190" s="77"/>
      <c r="G190" s="78"/>
      <c r="H190" s="78"/>
      <c r="I190" s="78"/>
      <c r="J190" s="79"/>
      <c r="K190" s="80"/>
      <c r="L190" s="81" t="s">
        <v>10</v>
      </c>
      <c r="N190"/>
      <c r="O190"/>
      <c r="P190"/>
      <c r="Q190"/>
      <c r="R190"/>
      <c r="S190"/>
      <c r="T190"/>
    </row>
    <row r="191" spans="3:20" ht="15.75" customHeight="1" x14ac:dyDescent="0.25">
      <c r="C191" s="82"/>
      <c r="D191" s="83"/>
      <c r="E191" s="83"/>
      <c r="F191" s="83"/>
      <c r="G191" s="128" t="s">
        <v>32</v>
      </c>
      <c r="H191" s="128" t="s">
        <v>33</v>
      </c>
      <c r="I191" s="78"/>
      <c r="J191" s="84" t="s">
        <v>11</v>
      </c>
      <c r="K191" s="85" t="s">
        <v>12</v>
      </c>
      <c r="L191" s="86" t="s">
        <v>13</v>
      </c>
      <c r="M191" s="9"/>
      <c r="N191"/>
      <c r="O191"/>
      <c r="P191"/>
      <c r="Q191"/>
      <c r="R191"/>
      <c r="S191"/>
      <c r="T191"/>
    </row>
    <row r="192" spans="3:20" ht="15.75" x14ac:dyDescent="0.25">
      <c r="C192" s="87"/>
      <c r="D192" s="88"/>
      <c r="E192" s="88"/>
      <c r="F192" s="89" t="s">
        <v>10</v>
      </c>
      <c r="G192" s="129"/>
      <c r="H192" s="129"/>
      <c r="I192" s="78"/>
      <c r="J192" s="90">
        <f t="shared" ref="J192:J197" si="26">J193-1</f>
        <v>1</v>
      </c>
      <c r="K192" s="91">
        <v>0.7</v>
      </c>
      <c r="L192" s="66">
        <f>AMI_Table!$B$13*'AMI &amp; Rent'!$C189</f>
        <v>198450</v>
      </c>
      <c r="M192" s="10"/>
      <c r="N192"/>
      <c r="O192"/>
      <c r="P192"/>
      <c r="Q192"/>
      <c r="R192"/>
      <c r="S192"/>
      <c r="T192"/>
    </row>
    <row r="193" spans="3:20" ht="35.1" customHeight="1" x14ac:dyDescent="0.25">
      <c r="C193" s="92"/>
      <c r="D193" s="93" t="s">
        <v>14</v>
      </c>
      <c r="E193" s="94" t="s">
        <v>15</v>
      </c>
      <c r="F193" s="95" t="s">
        <v>13</v>
      </c>
      <c r="G193" s="130"/>
      <c r="H193" s="130"/>
      <c r="I193" s="78"/>
      <c r="J193" s="90">
        <f t="shared" si="26"/>
        <v>2</v>
      </c>
      <c r="K193" s="91">
        <f>K192+0.1</f>
        <v>0.79999999999999993</v>
      </c>
      <c r="L193" s="66">
        <f>AMI_Table!$C$13*'AMI &amp; Rent'!$C189</f>
        <v>226800</v>
      </c>
      <c r="M193" s="11"/>
      <c r="N193"/>
      <c r="O193"/>
      <c r="P193"/>
      <c r="Q193"/>
      <c r="R193"/>
      <c r="S193"/>
      <c r="T193"/>
    </row>
    <row r="194" spans="3:20" ht="15.75" x14ac:dyDescent="0.25">
      <c r="C194" s="90" t="s">
        <v>1</v>
      </c>
      <c r="D194" s="96">
        <v>1</v>
      </c>
      <c r="E194" s="97">
        <v>0.7</v>
      </c>
      <c r="F194" s="98">
        <f>AMI_Table!$B$13*'AMI &amp; Rent'!$C189</f>
        <v>198450</v>
      </c>
      <c r="G194" s="66">
        <f t="shared" ref="G194:G199" si="27">ROUNDDOWN(F194*$A$7/12,0)</f>
        <v>4961</v>
      </c>
      <c r="H194" s="99">
        <f>G194-$N$18</f>
        <v>4865</v>
      </c>
      <c r="I194" s="78"/>
      <c r="J194" s="90">
        <f t="shared" si="26"/>
        <v>3</v>
      </c>
      <c r="K194" s="91">
        <f>K193+0.1</f>
        <v>0.89999999999999991</v>
      </c>
      <c r="L194" s="66">
        <f>AMI_Table!$D$13*'AMI &amp; Rent'!$C189</f>
        <v>255150</v>
      </c>
      <c r="M194" s="12"/>
      <c r="N194"/>
      <c r="O194"/>
      <c r="P194"/>
      <c r="Q194"/>
      <c r="R194"/>
      <c r="S194"/>
      <c r="T194"/>
    </row>
    <row r="195" spans="3:20" ht="15.75" x14ac:dyDescent="0.25">
      <c r="C195" s="90" t="s">
        <v>2</v>
      </c>
      <c r="D195" s="96">
        <v>1.5</v>
      </c>
      <c r="E195" s="97">
        <v>0.75</v>
      </c>
      <c r="F195" s="98">
        <f>AVERAGE(L192:L193)</f>
        <v>212625</v>
      </c>
      <c r="G195" s="66">
        <f t="shared" si="27"/>
        <v>5315</v>
      </c>
      <c r="H195" s="99">
        <f>G195-$N$19</f>
        <v>5206</v>
      </c>
      <c r="I195" s="78"/>
      <c r="J195" s="90">
        <f t="shared" si="26"/>
        <v>4</v>
      </c>
      <c r="K195" s="91">
        <f>K194+0.1</f>
        <v>0.99999999999999989</v>
      </c>
      <c r="L195" s="66">
        <f>AMI_Table!$E$13*'AMI &amp; Rent'!$C189</f>
        <v>283500</v>
      </c>
      <c r="M195" s="12"/>
      <c r="N195"/>
      <c r="O195"/>
      <c r="P195"/>
      <c r="Q195"/>
      <c r="R195"/>
      <c r="S195"/>
      <c r="T195"/>
    </row>
    <row r="196" spans="3:20" ht="15.75" x14ac:dyDescent="0.25">
      <c r="C196" s="90" t="s">
        <v>4</v>
      </c>
      <c r="D196" s="96">
        <v>3</v>
      </c>
      <c r="E196" s="97">
        <v>0.9</v>
      </c>
      <c r="F196" s="98">
        <f>L194</f>
        <v>255150</v>
      </c>
      <c r="G196" s="66">
        <f t="shared" si="27"/>
        <v>6378</v>
      </c>
      <c r="H196" s="99">
        <f>G196-$N$20</f>
        <v>6234</v>
      </c>
      <c r="I196" s="78"/>
      <c r="J196" s="90">
        <f t="shared" si="26"/>
        <v>5</v>
      </c>
      <c r="K196" s="91">
        <f>K195+0.08</f>
        <v>1.0799999999999998</v>
      </c>
      <c r="L196" s="66">
        <f>AMI_Table!$F$13*'AMI &amp; Rent'!$C189</f>
        <v>306250</v>
      </c>
      <c r="M196" s="12"/>
      <c r="N196"/>
      <c r="O196"/>
      <c r="P196"/>
      <c r="Q196"/>
      <c r="R196"/>
      <c r="S196"/>
      <c r="T196"/>
    </row>
    <row r="197" spans="3:20" ht="15.75" x14ac:dyDescent="0.25">
      <c r="C197" s="90" t="s">
        <v>5</v>
      </c>
      <c r="D197" s="96">
        <v>4.5</v>
      </c>
      <c r="E197" s="97">
        <v>1.04</v>
      </c>
      <c r="F197" s="98">
        <f>AVERAGE(L195:L196)</f>
        <v>294875</v>
      </c>
      <c r="G197" s="66">
        <f t="shared" si="27"/>
        <v>7371</v>
      </c>
      <c r="H197" s="99">
        <f>G197-$N$21</f>
        <v>7193</v>
      </c>
      <c r="I197" s="78"/>
      <c r="J197" s="90">
        <f t="shared" si="26"/>
        <v>6</v>
      </c>
      <c r="K197" s="91">
        <f>K196+0.08</f>
        <v>1.1599999999999999</v>
      </c>
      <c r="L197" s="66">
        <f>AMI_Table!$G$13*'AMI &amp; Rent'!$C189</f>
        <v>329000</v>
      </c>
      <c r="M197" s="12"/>
      <c r="N197"/>
      <c r="O197"/>
      <c r="P197"/>
      <c r="Q197"/>
      <c r="R197"/>
      <c r="S197"/>
      <c r="T197"/>
    </row>
    <row r="198" spans="3:20" ht="15.75" x14ac:dyDescent="0.25">
      <c r="C198" s="90" t="s">
        <v>6</v>
      </c>
      <c r="D198" s="96">
        <v>6</v>
      </c>
      <c r="E198" s="97">
        <v>1.1599999999999999</v>
      </c>
      <c r="F198" s="98">
        <f>L197</f>
        <v>329000</v>
      </c>
      <c r="G198" s="66">
        <f t="shared" si="27"/>
        <v>8225</v>
      </c>
      <c r="H198" s="99">
        <f>G198-$N$22</f>
        <v>8012</v>
      </c>
      <c r="I198" s="78"/>
      <c r="J198" s="90">
        <f>J199-1</f>
        <v>7</v>
      </c>
      <c r="K198" s="91">
        <f>K197+0.08</f>
        <v>1.24</v>
      </c>
      <c r="L198" s="66">
        <f>AMI_Table!$H$13*'AMI &amp; Rent'!$C189</f>
        <v>351575</v>
      </c>
      <c r="M198" s="12"/>
      <c r="N198"/>
      <c r="O198"/>
      <c r="P198"/>
      <c r="Q198"/>
      <c r="R198"/>
      <c r="S198"/>
      <c r="T198"/>
    </row>
    <row r="199" spans="3:20" ht="15.75" x14ac:dyDescent="0.25">
      <c r="C199" s="90" t="s">
        <v>7</v>
      </c>
      <c r="D199" s="96">
        <v>7.5</v>
      </c>
      <c r="E199" s="97">
        <f>1.28</f>
        <v>1.28</v>
      </c>
      <c r="F199" s="98">
        <f>AVERAGE(L198:L199)</f>
        <v>362950</v>
      </c>
      <c r="G199" s="66">
        <f t="shared" si="27"/>
        <v>9073</v>
      </c>
      <c r="H199" s="99">
        <f>G199-$N$23</f>
        <v>8825</v>
      </c>
      <c r="I199" s="78"/>
      <c r="J199" s="90">
        <v>8</v>
      </c>
      <c r="K199" s="91">
        <f>K198+0.08</f>
        <v>1.32</v>
      </c>
      <c r="L199" s="66">
        <f>AMI_Table!$I$13*'AMI &amp; Rent'!$C189</f>
        <v>374325</v>
      </c>
      <c r="M199" s="12"/>
      <c r="N199"/>
      <c r="O199"/>
      <c r="P199"/>
      <c r="Q199"/>
      <c r="R199"/>
      <c r="S199"/>
      <c r="T199"/>
    </row>
    <row r="200" spans="3:20" x14ac:dyDescent="0.2">
      <c r="H200"/>
      <c r="I200"/>
      <c r="J200"/>
      <c r="K200"/>
      <c r="L200"/>
      <c r="N200"/>
      <c r="O200"/>
      <c r="P200"/>
      <c r="Q200"/>
      <c r="R200"/>
      <c r="S200"/>
      <c r="T200"/>
    </row>
  </sheetData>
  <sheetProtection algorithmName="SHA-512" hashValue="0ZTY9gwmrzCT0gKNwZJyBqvhkFFKxrOOjcGNCVE9HZCV5g//G2rlomNLOMUBfohvb4QXXHo9tO+7JuhECzD73g==" saltValue="blEGz/O7YXzriZzkMQmv4w==" spinCount="100000" sheet="1" objects="1" scenarios="1"/>
  <mergeCells count="41">
    <mergeCell ref="G178:G180"/>
    <mergeCell ref="H178:H180"/>
    <mergeCell ref="G113:G115"/>
    <mergeCell ref="H113:H115"/>
    <mergeCell ref="G126:G128"/>
    <mergeCell ref="H126:H128"/>
    <mergeCell ref="G152:G154"/>
    <mergeCell ref="H152:H154"/>
    <mergeCell ref="G165:G167"/>
    <mergeCell ref="G191:G193"/>
    <mergeCell ref="C15:D15"/>
    <mergeCell ref="H23:I23"/>
    <mergeCell ref="G35:G37"/>
    <mergeCell ref="H74:H76"/>
    <mergeCell ref="H100:H102"/>
    <mergeCell ref="H139:H141"/>
    <mergeCell ref="H165:H167"/>
    <mergeCell ref="H191:H193"/>
    <mergeCell ref="H35:H37"/>
    <mergeCell ref="H48:H50"/>
    <mergeCell ref="H61:H63"/>
    <mergeCell ref="E15:I15"/>
    <mergeCell ref="G100:G102"/>
    <mergeCell ref="G139:G141"/>
    <mergeCell ref="G87:G89"/>
    <mergeCell ref="H87:H89"/>
    <mergeCell ref="A1:N1"/>
    <mergeCell ref="B15:B16"/>
    <mergeCell ref="N15:N17"/>
    <mergeCell ref="G74:G76"/>
    <mergeCell ref="H20:I20"/>
    <mergeCell ref="H21:I21"/>
    <mergeCell ref="H22:I22"/>
    <mergeCell ref="G48:G50"/>
    <mergeCell ref="G61:G63"/>
    <mergeCell ref="J15:M15"/>
    <mergeCell ref="H16:I16"/>
    <mergeCell ref="H18:I18"/>
    <mergeCell ref="H19:I19"/>
    <mergeCell ref="A9:N9"/>
    <mergeCell ref="H17:I17"/>
  </mergeCells>
  <phoneticPr fontId="19" type="noConversion"/>
  <conditionalFormatting sqref="E38">
    <cfRule type="expression" dxfId="11" priority="10">
      <formula>E38&lt;0.7</formula>
    </cfRule>
  </conditionalFormatting>
  <conditionalFormatting sqref="E51">
    <cfRule type="expression" dxfId="10" priority="11">
      <formula>E51&lt;0.7</formula>
    </cfRule>
  </conditionalFormatting>
  <conditionalFormatting sqref="E64">
    <cfRule type="expression" dxfId="9" priority="12">
      <formula>E64&lt;0.7</formula>
    </cfRule>
  </conditionalFormatting>
  <conditionalFormatting sqref="E77">
    <cfRule type="expression" dxfId="8" priority="17">
      <formula>E77&lt;0.7</formula>
    </cfRule>
  </conditionalFormatting>
  <conditionalFormatting sqref="E90">
    <cfRule type="expression" dxfId="7" priority="5">
      <formula>E90&lt;0.7</formula>
    </cfRule>
  </conditionalFormatting>
  <conditionalFormatting sqref="E116">
    <cfRule type="expression" dxfId="6" priority="4">
      <formula>E116&lt;0.7</formula>
    </cfRule>
  </conditionalFormatting>
  <conditionalFormatting sqref="E129">
    <cfRule type="expression" dxfId="5" priority="3">
      <formula>E129&lt;0.7</formula>
    </cfRule>
  </conditionalFormatting>
  <conditionalFormatting sqref="E142">
    <cfRule type="expression" dxfId="4" priority="9">
      <formula>E142&lt;0.7</formula>
    </cfRule>
  </conditionalFormatting>
  <conditionalFormatting sqref="E155">
    <cfRule type="expression" dxfId="3" priority="2">
      <formula>E155&lt;0.7</formula>
    </cfRule>
  </conditionalFormatting>
  <conditionalFormatting sqref="E168">
    <cfRule type="expression" dxfId="2" priority="8">
      <formula>E168&lt;0.7</formula>
    </cfRule>
  </conditionalFormatting>
  <conditionalFormatting sqref="E181">
    <cfRule type="expression" dxfId="1" priority="1">
      <formula>E181&lt;0.7</formula>
    </cfRule>
  </conditionalFormatting>
  <conditionalFormatting sqref="E194">
    <cfRule type="expression" dxfId="0" priority="7">
      <formula>E194&lt;0.7</formula>
    </cfRule>
  </conditionalFormatting>
  <dataValidations count="1">
    <dataValidation type="list" allowBlank="1" showInputMessage="1" showErrorMessage="1" sqref="B17:H17 J17:M17" xr:uid="{29C383A7-D3ED-41CE-A15D-C7186854ED2A}">
      <formula1>"N/A or owner pays, Tenant Pays"</formula1>
    </dataValidation>
  </dataValidations>
  <pageMargins left="0.5" right="0.5" top="0.5" bottom="0.5" header="0.5" footer="0.5"/>
  <pageSetup paperSize="5" scale="44" orientation="portrait" r:id="rId1"/>
  <headerFooter alignWithMargins="0"/>
  <colBreaks count="1" manualBreakCount="1">
    <brk id="16" min="2" max="129" man="1"/>
  </colBreaks>
  <extLst>
    <ext xmlns:mx="http://schemas.microsoft.com/office/mac/excel/2008/main" uri="{64002731-A6B0-56B0-2670-7721B7C09600}">
      <mx:PLV Mode="0" OnePage="0" WScale="44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DD8B7-CF54-43DB-8C77-639E79C8E9D8}">
  <sheetPr codeName="Sheet2"/>
  <dimension ref="A1:AA42"/>
  <sheetViews>
    <sheetView showGridLines="0" view="pageBreakPreview" zoomScale="70" zoomScaleSheetLayoutView="70" workbookViewId="0">
      <selection activeCell="A4" sqref="A4"/>
    </sheetView>
  </sheetViews>
  <sheetFormatPr defaultColWidth="8.6640625" defaultRowHeight="15" x14ac:dyDescent="0.2"/>
  <cols>
    <col min="1" max="1" width="6.33203125" bestFit="1" customWidth="1"/>
    <col min="2" max="2" width="10.6640625" bestFit="1" customWidth="1"/>
    <col min="3" max="9" width="11" bestFit="1" customWidth="1"/>
    <col min="10" max="10" width="64.88671875" customWidth="1"/>
    <col min="11" max="11" width="12.6640625" bestFit="1" customWidth="1"/>
  </cols>
  <sheetData>
    <row r="1" spans="1:27" ht="15.75" x14ac:dyDescent="0.25">
      <c r="A1" s="152" t="s">
        <v>41</v>
      </c>
      <c r="B1" s="152"/>
      <c r="C1" s="152"/>
      <c r="D1" s="152"/>
      <c r="E1" s="152"/>
      <c r="F1" s="152"/>
      <c r="G1" s="152"/>
      <c r="H1" s="152"/>
      <c r="I1" s="152"/>
    </row>
    <row r="2" spans="1:27" x14ac:dyDescent="0.2">
      <c r="B2" s="16">
        <v>0.7</v>
      </c>
      <c r="C2" s="16">
        <v>0.79999999999999993</v>
      </c>
      <c r="D2" s="16">
        <v>0.89999999999999991</v>
      </c>
      <c r="E2" s="16">
        <v>0.99999999999999989</v>
      </c>
      <c r="F2" s="16">
        <v>1.0799999999999998</v>
      </c>
      <c r="G2" s="16">
        <v>1.1599999999999999</v>
      </c>
      <c r="H2" s="16">
        <v>1.24</v>
      </c>
      <c r="I2" s="16">
        <v>1.32</v>
      </c>
    </row>
    <row r="3" spans="1:27" ht="16.5" thickBot="1" x14ac:dyDescent="0.3">
      <c r="A3" s="17"/>
      <c r="B3" s="18">
        <v>1</v>
      </c>
      <c r="C3" s="18">
        <f t="shared" ref="C3:I3" si="0">B3+1</f>
        <v>2</v>
      </c>
      <c r="D3" s="18">
        <f t="shared" si="0"/>
        <v>3</v>
      </c>
      <c r="E3" s="18">
        <f t="shared" si="0"/>
        <v>4</v>
      </c>
      <c r="F3" s="18">
        <f t="shared" si="0"/>
        <v>5</v>
      </c>
      <c r="G3" s="18">
        <f t="shared" si="0"/>
        <v>6</v>
      </c>
      <c r="H3" s="18">
        <f t="shared" si="0"/>
        <v>7</v>
      </c>
      <c r="I3" s="18">
        <f t="shared" si="0"/>
        <v>8</v>
      </c>
    </row>
    <row r="4" spans="1:27" ht="15.75" x14ac:dyDescent="0.25">
      <c r="A4" s="19">
        <v>0.1</v>
      </c>
      <c r="B4" s="20">
        <f>B8*0.2</f>
        <v>11340</v>
      </c>
      <c r="C4" s="20">
        <f t="shared" ref="C4:I4" si="1">C8*0.2</f>
        <v>12960</v>
      </c>
      <c r="D4" s="20">
        <f t="shared" si="1"/>
        <v>14580</v>
      </c>
      <c r="E4" s="20">
        <f t="shared" si="1"/>
        <v>16200</v>
      </c>
      <c r="F4" s="20">
        <f t="shared" si="1"/>
        <v>17500</v>
      </c>
      <c r="G4" s="20">
        <f t="shared" si="1"/>
        <v>18800</v>
      </c>
      <c r="H4" s="20">
        <f t="shared" si="1"/>
        <v>20090</v>
      </c>
      <c r="I4" s="20">
        <f t="shared" si="1"/>
        <v>21390</v>
      </c>
      <c r="K4" s="54"/>
      <c r="L4" s="54"/>
      <c r="M4" s="54"/>
      <c r="N4" s="54"/>
      <c r="O4" s="54"/>
      <c r="P4" s="54"/>
      <c r="Q4" s="54"/>
      <c r="R4" s="54"/>
      <c r="T4" s="30"/>
      <c r="U4" s="30"/>
      <c r="V4" s="30"/>
      <c r="W4" s="30"/>
      <c r="X4" s="30"/>
      <c r="Y4" s="30"/>
      <c r="Z4" s="30"/>
      <c r="AA4" s="30"/>
    </row>
    <row r="5" spans="1:27" ht="15.75" x14ac:dyDescent="0.25">
      <c r="A5" s="21">
        <f>+A4+10%</f>
        <v>0.2</v>
      </c>
      <c r="B5" s="22">
        <f>B8*0.4</f>
        <v>22680</v>
      </c>
      <c r="C5" s="22">
        <f t="shared" ref="C5:I5" si="2">C8*0.4</f>
        <v>25920</v>
      </c>
      <c r="D5" s="22">
        <f t="shared" si="2"/>
        <v>29160</v>
      </c>
      <c r="E5" s="22">
        <f t="shared" si="2"/>
        <v>32400</v>
      </c>
      <c r="F5" s="22">
        <f t="shared" si="2"/>
        <v>35000</v>
      </c>
      <c r="G5" s="22">
        <f t="shared" si="2"/>
        <v>37600</v>
      </c>
      <c r="H5" s="22">
        <f t="shared" si="2"/>
        <v>40180</v>
      </c>
      <c r="I5" s="22">
        <f t="shared" si="2"/>
        <v>42780</v>
      </c>
      <c r="K5" s="54"/>
      <c r="L5" s="54"/>
      <c r="M5" s="54"/>
      <c r="N5" s="54"/>
      <c r="O5" s="54"/>
      <c r="P5" s="54"/>
      <c r="Q5" s="54"/>
      <c r="R5" s="54"/>
      <c r="T5" s="30"/>
      <c r="U5" s="30"/>
      <c r="V5" s="30"/>
      <c r="W5" s="30"/>
      <c r="X5" s="30"/>
      <c r="Y5" s="30"/>
      <c r="Z5" s="30"/>
      <c r="AA5" s="30"/>
    </row>
    <row r="6" spans="1:27" x14ac:dyDescent="0.2">
      <c r="A6" s="19">
        <f t="shared" ref="A6:A28" si="3">+A5+10%</f>
        <v>0.30000000000000004</v>
      </c>
      <c r="B6" s="20">
        <f>B8*0.6</f>
        <v>34020</v>
      </c>
      <c r="C6" s="20">
        <f t="shared" ref="C6:I6" si="4">C8*0.6</f>
        <v>38880</v>
      </c>
      <c r="D6" s="20">
        <f t="shared" si="4"/>
        <v>43740</v>
      </c>
      <c r="E6" s="20">
        <f t="shared" si="4"/>
        <v>48600</v>
      </c>
      <c r="F6" s="20">
        <f t="shared" si="4"/>
        <v>52500</v>
      </c>
      <c r="G6" s="20">
        <f t="shared" si="4"/>
        <v>56400</v>
      </c>
      <c r="H6" s="20">
        <f t="shared" si="4"/>
        <v>60270</v>
      </c>
      <c r="I6" s="20">
        <f t="shared" si="4"/>
        <v>64170</v>
      </c>
      <c r="L6" s="23"/>
      <c r="T6" s="30"/>
      <c r="U6" s="30"/>
      <c r="V6" s="30"/>
      <c r="W6" s="30"/>
      <c r="X6" s="30"/>
      <c r="Y6" s="30"/>
      <c r="Z6" s="30"/>
      <c r="AA6" s="30"/>
    </row>
    <row r="7" spans="1:27" ht="15.75" x14ac:dyDescent="0.25">
      <c r="A7" s="21">
        <f t="shared" si="3"/>
        <v>0.4</v>
      </c>
      <c r="B7" s="22">
        <f>B8*0.8</f>
        <v>45360</v>
      </c>
      <c r="C7" s="22">
        <f t="shared" ref="C7:I7" si="5">C8*0.8</f>
        <v>51840</v>
      </c>
      <c r="D7" s="22">
        <f t="shared" si="5"/>
        <v>58320</v>
      </c>
      <c r="E7" s="22">
        <f t="shared" si="5"/>
        <v>64800</v>
      </c>
      <c r="F7" s="22">
        <f t="shared" si="5"/>
        <v>70000</v>
      </c>
      <c r="G7" s="22">
        <f t="shared" si="5"/>
        <v>75200</v>
      </c>
      <c r="H7" s="22">
        <f t="shared" si="5"/>
        <v>80360</v>
      </c>
      <c r="I7" s="22">
        <f t="shared" si="5"/>
        <v>85560</v>
      </c>
      <c r="K7" s="55"/>
      <c r="L7" s="55"/>
      <c r="M7" s="55"/>
      <c r="N7" s="55"/>
      <c r="O7" s="55"/>
      <c r="P7" s="55"/>
      <c r="Q7" s="55"/>
      <c r="R7" s="55"/>
      <c r="T7" s="30"/>
      <c r="U7" s="30"/>
      <c r="V7" s="30"/>
      <c r="W7" s="30"/>
      <c r="X7" s="30"/>
      <c r="Y7" s="30"/>
      <c r="Z7" s="30"/>
      <c r="AA7" s="30"/>
    </row>
    <row r="8" spans="1:27" ht="15.75" x14ac:dyDescent="0.25">
      <c r="A8" s="19">
        <f t="shared" si="3"/>
        <v>0.5</v>
      </c>
      <c r="B8" s="20">
        <v>56700</v>
      </c>
      <c r="C8" s="20">
        <v>64800</v>
      </c>
      <c r="D8" s="20">
        <v>72900</v>
      </c>
      <c r="E8" s="20">
        <v>81000</v>
      </c>
      <c r="F8" s="20">
        <v>87500</v>
      </c>
      <c r="G8" s="20">
        <v>94000</v>
      </c>
      <c r="H8" s="20">
        <v>100450</v>
      </c>
      <c r="I8" s="20">
        <v>106950</v>
      </c>
      <c r="J8" s="56"/>
      <c r="K8" s="55"/>
      <c r="L8" s="55"/>
      <c r="M8" s="55"/>
      <c r="N8" s="55"/>
      <c r="O8" s="55"/>
      <c r="P8" s="55"/>
      <c r="Q8" s="55"/>
      <c r="R8" s="55"/>
      <c r="T8" s="30"/>
      <c r="U8" s="30"/>
      <c r="V8" s="30"/>
      <c r="W8" s="30"/>
      <c r="X8" s="30"/>
      <c r="Y8" s="30"/>
      <c r="Z8" s="30"/>
      <c r="AA8" s="30"/>
    </row>
    <row r="9" spans="1:27" ht="15.75" x14ac:dyDescent="0.25">
      <c r="A9" s="21">
        <f t="shared" si="3"/>
        <v>0.6</v>
      </c>
      <c r="B9" s="22">
        <f>B8*1.2</f>
        <v>68040</v>
      </c>
      <c r="C9" s="22">
        <f t="shared" ref="C9:I9" si="6">C8*1.2</f>
        <v>77760</v>
      </c>
      <c r="D9" s="22">
        <f t="shared" si="6"/>
        <v>87480</v>
      </c>
      <c r="E9" s="22">
        <f t="shared" si="6"/>
        <v>97200</v>
      </c>
      <c r="F9" s="22">
        <f t="shared" si="6"/>
        <v>105000</v>
      </c>
      <c r="G9" s="22">
        <f t="shared" si="6"/>
        <v>112800</v>
      </c>
      <c r="H9" s="22">
        <f t="shared" si="6"/>
        <v>120540</v>
      </c>
      <c r="I9" s="22">
        <f t="shared" si="6"/>
        <v>128340</v>
      </c>
      <c r="K9" s="55"/>
      <c r="L9" s="55"/>
      <c r="M9" s="55"/>
      <c r="N9" s="55"/>
      <c r="O9" s="55"/>
      <c r="P9" s="55"/>
      <c r="Q9" s="55"/>
      <c r="R9" s="55"/>
      <c r="T9" s="30"/>
      <c r="U9" s="30"/>
      <c r="V9" s="30"/>
      <c r="W9" s="30"/>
      <c r="X9" s="30"/>
      <c r="Y9" s="30"/>
      <c r="Z9" s="30"/>
      <c r="AA9" s="30"/>
    </row>
    <row r="10" spans="1:27" ht="15.75" x14ac:dyDescent="0.25">
      <c r="A10" s="19">
        <f t="shared" si="3"/>
        <v>0.7</v>
      </c>
      <c r="B10" s="20">
        <f>B8*1.4</f>
        <v>79380</v>
      </c>
      <c r="C10" s="20">
        <f t="shared" ref="C10:I10" si="7">C8*1.4</f>
        <v>90720</v>
      </c>
      <c r="D10" s="20">
        <f t="shared" si="7"/>
        <v>102060</v>
      </c>
      <c r="E10" s="20">
        <f t="shared" si="7"/>
        <v>113400</v>
      </c>
      <c r="F10" s="20">
        <f t="shared" si="7"/>
        <v>122499.99999999999</v>
      </c>
      <c r="G10" s="20">
        <f t="shared" si="7"/>
        <v>131600</v>
      </c>
      <c r="H10" s="20">
        <f t="shared" si="7"/>
        <v>140630</v>
      </c>
      <c r="I10" s="20">
        <f t="shared" si="7"/>
        <v>149730</v>
      </c>
      <c r="K10" s="55"/>
      <c r="L10" s="55"/>
      <c r="M10" s="55"/>
      <c r="N10" s="55"/>
      <c r="O10" s="55"/>
      <c r="P10" s="55"/>
      <c r="Q10" s="55"/>
      <c r="R10" s="55"/>
      <c r="T10" s="30"/>
      <c r="U10" s="30"/>
      <c r="V10" s="30"/>
      <c r="W10" s="30"/>
      <c r="X10" s="30"/>
      <c r="Y10" s="30"/>
      <c r="Z10" s="30"/>
      <c r="AA10" s="30"/>
    </row>
    <row r="11" spans="1:27" ht="15.75" x14ac:dyDescent="0.25">
      <c r="A11" s="21">
        <f t="shared" si="3"/>
        <v>0.79999999999999993</v>
      </c>
      <c r="B11" s="22">
        <f>B8*1.6</f>
        <v>90720</v>
      </c>
      <c r="C11" s="22">
        <f t="shared" ref="C11:I11" si="8">C8*1.6</f>
        <v>103680</v>
      </c>
      <c r="D11" s="22">
        <f t="shared" si="8"/>
        <v>116640</v>
      </c>
      <c r="E11" s="22">
        <f t="shared" si="8"/>
        <v>129600</v>
      </c>
      <c r="F11" s="22">
        <f t="shared" si="8"/>
        <v>140000</v>
      </c>
      <c r="G11" s="22">
        <f t="shared" si="8"/>
        <v>150400</v>
      </c>
      <c r="H11" s="22">
        <f t="shared" si="8"/>
        <v>160720</v>
      </c>
      <c r="I11" s="22">
        <f t="shared" si="8"/>
        <v>171120</v>
      </c>
      <c r="K11" s="55"/>
      <c r="L11" s="55"/>
      <c r="M11" s="55"/>
      <c r="N11" s="55"/>
      <c r="O11" s="55"/>
      <c r="P11" s="55"/>
      <c r="Q11" s="55"/>
      <c r="R11" s="55"/>
      <c r="T11" s="30"/>
      <c r="U11" s="30"/>
      <c r="V11" s="30"/>
      <c r="W11" s="30"/>
      <c r="X11" s="30"/>
      <c r="Y11" s="30"/>
      <c r="Z11" s="30"/>
      <c r="AA11" s="30"/>
    </row>
    <row r="12" spans="1:27" ht="15.75" x14ac:dyDescent="0.25">
      <c r="A12" s="19">
        <f t="shared" si="3"/>
        <v>0.89999999999999991</v>
      </c>
      <c r="B12" s="20">
        <f>B8*1.8</f>
        <v>102060</v>
      </c>
      <c r="C12" s="20">
        <f t="shared" ref="C12:I12" si="9">C8*1.8</f>
        <v>116640</v>
      </c>
      <c r="D12" s="20">
        <f t="shared" si="9"/>
        <v>131220</v>
      </c>
      <c r="E12" s="20">
        <f t="shared" si="9"/>
        <v>145800</v>
      </c>
      <c r="F12" s="20">
        <f t="shared" si="9"/>
        <v>157500</v>
      </c>
      <c r="G12" s="20">
        <f t="shared" si="9"/>
        <v>169200</v>
      </c>
      <c r="H12" s="20">
        <f t="shared" si="9"/>
        <v>180810</v>
      </c>
      <c r="I12" s="20">
        <f t="shared" si="9"/>
        <v>192510</v>
      </c>
      <c r="K12" s="55"/>
      <c r="L12" s="55"/>
      <c r="M12" s="55"/>
      <c r="N12" s="55"/>
      <c r="O12" s="55"/>
      <c r="P12" s="55"/>
      <c r="Q12" s="55"/>
      <c r="R12" s="55"/>
      <c r="T12" s="30"/>
      <c r="U12" s="30"/>
      <c r="V12" s="30"/>
      <c r="W12" s="30"/>
      <c r="X12" s="30"/>
      <c r="Y12" s="30"/>
      <c r="Z12" s="30"/>
      <c r="AA12" s="30"/>
    </row>
    <row r="13" spans="1:27" ht="15.75" x14ac:dyDescent="0.25">
      <c r="A13" s="21">
        <f t="shared" si="3"/>
        <v>0.99999999999999989</v>
      </c>
      <c r="B13" s="22">
        <f>B8*2</f>
        <v>113400</v>
      </c>
      <c r="C13" s="22">
        <f t="shared" ref="C13:I13" si="10">C8*2</f>
        <v>129600</v>
      </c>
      <c r="D13" s="22">
        <f t="shared" si="10"/>
        <v>145800</v>
      </c>
      <c r="E13" s="22">
        <f t="shared" si="10"/>
        <v>162000</v>
      </c>
      <c r="F13" s="22">
        <f t="shared" si="10"/>
        <v>175000</v>
      </c>
      <c r="G13" s="22">
        <f t="shared" si="10"/>
        <v>188000</v>
      </c>
      <c r="H13" s="22">
        <f t="shared" si="10"/>
        <v>200900</v>
      </c>
      <c r="I13" s="22">
        <f t="shared" si="10"/>
        <v>213900</v>
      </c>
      <c r="K13" s="55"/>
      <c r="L13" s="55"/>
      <c r="M13" s="55"/>
      <c r="N13" s="55"/>
      <c r="O13" s="55"/>
      <c r="P13" s="55"/>
      <c r="Q13" s="55"/>
      <c r="R13" s="55"/>
      <c r="T13" s="30"/>
      <c r="U13" s="30"/>
      <c r="V13" s="30"/>
      <c r="W13" s="30"/>
      <c r="X13" s="30"/>
      <c r="Y13" s="30"/>
      <c r="Z13" s="30"/>
      <c r="AA13" s="30"/>
    </row>
    <row r="14" spans="1:27" ht="15.75" x14ac:dyDescent="0.25">
      <c r="A14" s="19">
        <f t="shared" si="3"/>
        <v>1.0999999999999999</v>
      </c>
      <c r="B14" s="20">
        <f>B8*2.2</f>
        <v>124740.00000000001</v>
      </c>
      <c r="C14" s="20">
        <f t="shared" ref="C14:I14" si="11">C8*2.2</f>
        <v>142560</v>
      </c>
      <c r="D14" s="20">
        <f t="shared" si="11"/>
        <v>160380</v>
      </c>
      <c r="E14" s="20">
        <f t="shared" si="11"/>
        <v>178200</v>
      </c>
      <c r="F14" s="20">
        <f t="shared" si="11"/>
        <v>192500.00000000003</v>
      </c>
      <c r="G14" s="20">
        <f t="shared" si="11"/>
        <v>206800.00000000003</v>
      </c>
      <c r="H14" s="20">
        <f t="shared" si="11"/>
        <v>220990.00000000003</v>
      </c>
      <c r="I14" s="20">
        <f t="shared" si="11"/>
        <v>235290.00000000003</v>
      </c>
      <c r="K14" s="55"/>
      <c r="L14" s="55"/>
      <c r="M14" s="55"/>
      <c r="N14" s="55"/>
      <c r="O14" s="55"/>
      <c r="P14" s="55"/>
      <c r="Q14" s="55"/>
      <c r="R14" s="55"/>
      <c r="T14" s="30"/>
      <c r="U14" s="30"/>
      <c r="V14" s="30"/>
      <c r="W14" s="30"/>
      <c r="X14" s="30"/>
      <c r="Y14" s="30"/>
      <c r="Z14" s="30"/>
      <c r="AA14" s="30"/>
    </row>
    <row r="15" spans="1:27" ht="15.75" x14ac:dyDescent="0.25">
      <c r="A15" s="21">
        <f t="shared" si="3"/>
        <v>1.2</v>
      </c>
      <c r="B15" s="22">
        <f>B8*2.4</f>
        <v>136080</v>
      </c>
      <c r="C15" s="22">
        <f t="shared" ref="C15:I15" si="12">C8*2.4</f>
        <v>155520</v>
      </c>
      <c r="D15" s="22">
        <f t="shared" si="12"/>
        <v>174960</v>
      </c>
      <c r="E15" s="22">
        <f t="shared" si="12"/>
        <v>194400</v>
      </c>
      <c r="F15" s="22">
        <f t="shared" si="12"/>
        <v>210000</v>
      </c>
      <c r="G15" s="22">
        <f t="shared" si="12"/>
        <v>225600</v>
      </c>
      <c r="H15" s="22">
        <f t="shared" si="12"/>
        <v>241080</v>
      </c>
      <c r="I15" s="22">
        <f t="shared" si="12"/>
        <v>256680</v>
      </c>
      <c r="K15" s="55"/>
      <c r="L15" s="55"/>
      <c r="M15" s="55"/>
      <c r="N15" s="55"/>
      <c r="O15" s="55"/>
      <c r="P15" s="55"/>
      <c r="Q15" s="55"/>
      <c r="R15" s="55"/>
      <c r="T15" s="30"/>
      <c r="U15" s="30"/>
      <c r="V15" s="30"/>
      <c r="W15" s="30"/>
      <c r="X15" s="30"/>
      <c r="Y15" s="30"/>
      <c r="Z15" s="30"/>
      <c r="AA15" s="30"/>
    </row>
    <row r="16" spans="1:27" ht="15.75" x14ac:dyDescent="0.25">
      <c r="A16" s="19">
        <f t="shared" si="3"/>
        <v>1.3</v>
      </c>
      <c r="B16" s="20">
        <f>B8*2.6</f>
        <v>147420</v>
      </c>
      <c r="C16" s="20">
        <f t="shared" ref="C16:I16" si="13">C8*2.6</f>
        <v>168480</v>
      </c>
      <c r="D16" s="20">
        <f t="shared" si="13"/>
        <v>189540</v>
      </c>
      <c r="E16" s="20">
        <f t="shared" si="13"/>
        <v>210600</v>
      </c>
      <c r="F16" s="20">
        <f t="shared" si="13"/>
        <v>227500</v>
      </c>
      <c r="G16" s="20">
        <f t="shared" si="13"/>
        <v>244400</v>
      </c>
      <c r="H16" s="20">
        <f t="shared" si="13"/>
        <v>261170</v>
      </c>
      <c r="I16" s="20">
        <f t="shared" si="13"/>
        <v>278070</v>
      </c>
      <c r="K16" s="55"/>
      <c r="L16" s="55"/>
      <c r="M16" s="55"/>
      <c r="N16" s="55"/>
      <c r="O16" s="55"/>
      <c r="P16" s="55"/>
      <c r="Q16" s="55"/>
      <c r="R16" s="55"/>
      <c r="T16" s="30"/>
      <c r="U16" s="30"/>
      <c r="V16" s="30"/>
      <c r="W16" s="30"/>
      <c r="X16" s="30"/>
      <c r="Y16" s="30"/>
      <c r="Z16" s="30"/>
      <c r="AA16" s="30"/>
    </row>
    <row r="17" spans="1:27" ht="15.75" x14ac:dyDescent="0.25">
      <c r="A17" s="21">
        <f t="shared" si="3"/>
        <v>1.4000000000000001</v>
      </c>
      <c r="B17" s="22">
        <f>B8*2.8</f>
        <v>158760</v>
      </c>
      <c r="C17" s="22">
        <f t="shared" ref="C17:I17" si="14">C8*2.8</f>
        <v>181440</v>
      </c>
      <c r="D17" s="22">
        <f t="shared" si="14"/>
        <v>204120</v>
      </c>
      <c r="E17" s="22">
        <f t="shared" si="14"/>
        <v>226800</v>
      </c>
      <c r="F17" s="22">
        <f t="shared" si="14"/>
        <v>244999.99999999997</v>
      </c>
      <c r="G17" s="22">
        <f t="shared" si="14"/>
        <v>263200</v>
      </c>
      <c r="H17" s="22">
        <f t="shared" si="14"/>
        <v>281260</v>
      </c>
      <c r="I17" s="22">
        <f t="shared" si="14"/>
        <v>299460</v>
      </c>
      <c r="K17" s="55"/>
      <c r="L17" s="55"/>
      <c r="M17" s="55"/>
      <c r="N17" s="55"/>
      <c r="O17" s="55"/>
      <c r="P17" s="55"/>
      <c r="Q17" s="55"/>
      <c r="R17" s="55"/>
      <c r="T17" s="30"/>
      <c r="U17" s="30"/>
      <c r="V17" s="30"/>
      <c r="W17" s="30"/>
      <c r="X17" s="30"/>
      <c r="Y17" s="30"/>
      <c r="Z17" s="30"/>
      <c r="AA17" s="30"/>
    </row>
    <row r="18" spans="1:27" ht="15.75" x14ac:dyDescent="0.25">
      <c r="A18" s="19">
        <f t="shared" si="3"/>
        <v>1.5000000000000002</v>
      </c>
      <c r="B18" s="20">
        <f>B8*3</f>
        <v>170100</v>
      </c>
      <c r="C18" s="20">
        <f t="shared" ref="C18:I18" si="15">C8*3</f>
        <v>194400</v>
      </c>
      <c r="D18" s="20">
        <f t="shared" si="15"/>
        <v>218700</v>
      </c>
      <c r="E18" s="20">
        <f t="shared" si="15"/>
        <v>243000</v>
      </c>
      <c r="F18" s="20">
        <f t="shared" si="15"/>
        <v>262500</v>
      </c>
      <c r="G18" s="20">
        <f t="shared" si="15"/>
        <v>282000</v>
      </c>
      <c r="H18" s="20">
        <f t="shared" si="15"/>
        <v>301350</v>
      </c>
      <c r="I18" s="20">
        <f t="shared" si="15"/>
        <v>320850</v>
      </c>
      <c r="K18" s="55"/>
      <c r="L18" s="55"/>
      <c r="M18" s="55"/>
      <c r="N18" s="55"/>
      <c r="O18" s="55"/>
      <c r="P18" s="55"/>
      <c r="Q18" s="55"/>
      <c r="R18" s="55"/>
      <c r="T18" s="30"/>
      <c r="U18" s="30"/>
      <c r="V18" s="30"/>
      <c r="W18" s="30"/>
      <c r="X18" s="30"/>
      <c r="Y18" s="30"/>
      <c r="Z18" s="30"/>
      <c r="AA18" s="30"/>
    </row>
    <row r="19" spans="1:27" ht="15.75" x14ac:dyDescent="0.25">
      <c r="A19" s="21">
        <f t="shared" si="3"/>
        <v>1.6000000000000003</v>
      </c>
      <c r="B19" s="22">
        <f>B8*3.2</f>
        <v>181440</v>
      </c>
      <c r="C19" s="22">
        <f t="shared" ref="C19:I19" si="16">C8*3.2</f>
        <v>207360</v>
      </c>
      <c r="D19" s="22">
        <f t="shared" si="16"/>
        <v>233280</v>
      </c>
      <c r="E19" s="22">
        <f t="shared" si="16"/>
        <v>259200</v>
      </c>
      <c r="F19" s="22">
        <f t="shared" si="16"/>
        <v>280000</v>
      </c>
      <c r="G19" s="22">
        <f t="shared" si="16"/>
        <v>300800</v>
      </c>
      <c r="H19" s="22">
        <f t="shared" si="16"/>
        <v>321440</v>
      </c>
      <c r="I19" s="22">
        <f t="shared" si="16"/>
        <v>342240</v>
      </c>
      <c r="K19" s="55"/>
      <c r="L19" s="55"/>
      <c r="M19" s="55"/>
      <c r="N19" s="55"/>
      <c r="O19" s="55"/>
      <c r="P19" s="55"/>
      <c r="Q19" s="55"/>
      <c r="R19" s="55"/>
      <c r="T19" s="30"/>
      <c r="U19" s="30"/>
      <c r="V19" s="30"/>
      <c r="W19" s="30"/>
      <c r="X19" s="30"/>
      <c r="Y19" s="30"/>
      <c r="Z19" s="30"/>
      <c r="AA19" s="30"/>
    </row>
    <row r="20" spans="1:27" ht="15.75" x14ac:dyDescent="0.25">
      <c r="A20" s="19">
        <f t="shared" si="3"/>
        <v>1.7000000000000004</v>
      </c>
      <c r="B20" s="20">
        <f>B8*3.4</f>
        <v>192780</v>
      </c>
      <c r="C20" s="20">
        <f t="shared" ref="C20:I20" si="17">C8*3.4</f>
        <v>220320</v>
      </c>
      <c r="D20" s="20">
        <f t="shared" si="17"/>
        <v>247860</v>
      </c>
      <c r="E20" s="20">
        <f t="shared" si="17"/>
        <v>275400</v>
      </c>
      <c r="F20" s="20">
        <f t="shared" si="17"/>
        <v>297500</v>
      </c>
      <c r="G20" s="20">
        <f t="shared" si="17"/>
        <v>319600</v>
      </c>
      <c r="H20" s="20">
        <f t="shared" si="17"/>
        <v>341530</v>
      </c>
      <c r="I20" s="20">
        <f t="shared" si="17"/>
        <v>363630</v>
      </c>
      <c r="K20" s="55"/>
      <c r="L20" s="55"/>
      <c r="M20" s="55"/>
      <c r="N20" s="55"/>
      <c r="O20" s="55"/>
      <c r="P20" s="55"/>
      <c r="Q20" s="55"/>
      <c r="R20" s="55"/>
      <c r="T20" s="30"/>
      <c r="U20" s="30"/>
      <c r="V20" s="30"/>
      <c r="W20" s="30"/>
      <c r="X20" s="30"/>
      <c r="Y20" s="30"/>
      <c r="Z20" s="30"/>
      <c r="AA20" s="30"/>
    </row>
    <row r="21" spans="1:27" ht="15.75" x14ac:dyDescent="0.25">
      <c r="A21" s="21">
        <f t="shared" si="3"/>
        <v>1.8000000000000005</v>
      </c>
      <c r="B21" s="22">
        <f>B8*3.6</f>
        <v>204120</v>
      </c>
      <c r="C21" s="22">
        <f t="shared" ref="C21:I21" si="18">C8*3.6</f>
        <v>233280</v>
      </c>
      <c r="D21" s="22">
        <f t="shared" si="18"/>
        <v>262440</v>
      </c>
      <c r="E21" s="22">
        <f t="shared" si="18"/>
        <v>291600</v>
      </c>
      <c r="F21" s="22">
        <f t="shared" si="18"/>
        <v>315000</v>
      </c>
      <c r="G21" s="22">
        <f t="shared" si="18"/>
        <v>338400</v>
      </c>
      <c r="H21" s="22">
        <f t="shared" si="18"/>
        <v>361620</v>
      </c>
      <c r="I21" s="22">
        <f t="shared" si="18"/>
        <v>385020</v>
      </c>
      <c r="K21" s="55"/>
      <c r="L21" s="55"/>
      <c r="M21" s="55"/>
      <c r="N21" s="55"/>
      <c r="O21" s="55"/>
      <c r="P21" s="55"/>
      <c r="Q21" s="55"/>
      <c r="R21" s="55"/>
      <c r="T21" s="30"/>
      <c r="U21" s="30"/>
      <c r="V21" s="30"/>
      <c r="W21" s="30"/>
      <c r="X21" s="30"/>
      <c r="Y21" s="30"/>
      <c r="Z21" s="30"/>
      <c r="AA21" s="30"/>
    </row>
    <row r="22" spans="1:27" ht="15.75" x14ac:dyDescent="0.25">
      <c r="A22" s="19">
        <f t="shared" si="3"/>
        <v>1.9000000000000006</v>
      </c>
      <c r="B22" s="20">
        <f>B8*3.8</f>
        <v>215460</v>
      </c>
      <c r="C22" s="20">
        <f t="shared" ref="C22:I22" si="19">C8*3.8</f>
        <v>246240</v>
      </c>
      <c r="D22" s="20">
        <f t="shared" si="19"/>
        <v>277020</v>
      </c>
      <c r="E22" s="20">
        <f t="shared" si="19"/>
        <v>307800</v>
      </c>
      <c r="F22" s="20">
        <f t="shared" si="19"/>
        <v>332500</v>
      </c>
      <c r="G22" s="20">
        <f t="shared" si="19"/>
        <v>357200</v>
      </c>
      <c r="H22" s="20">
        <f t="shared" si="19"/>
        <v>381710</v>
      </c>
      <c r="I22" s="20">
        <f t="shared" si="19"/>
        <v>406410</v>
      </c>
      <c r="K22" s="55"/>
      <c r="L22" s="55"/>
      <c r="M22" s="55"/>
      <c r="N22" s="55"/>
      <c r="O22" s="55"/>
      <c r="P22" s="55"/>
      <c r="Q22" s="55"/>
      <c r="R22" s="55"/>
      <c r="T22" s="30"/>
      <c r="U22" s="30"/>
      <c r="V22" s="30"/>
      <c r="W22" s="30"/>
      <c r="X22" s="30"/>
      <c r="Y22" s="30"/>
      <c r="Z22" s="30"/>
      <c r="AA22" s="30"/>
    </row>
    <row r="23" spans="1:27" ht="15.75" x14ac:dyDescent="0.25">
      <c r="A23" s="21">
        <f t="shared" si="3"/>
        <v>2.0000000000000004</v>
      </c>
      <c r="B23" s="29">
        <f>B8*4</f>
        <v>226800</v>
      </c>
      <c r="C23" s="29">
        <f t="shared" ref="C23:I23" si="20">C8*4</f>
        <v>259200</v>
      </c>
      <c r="D23" s="29">
        <f t="shared" si="20"/>
        <v>291600</v>
      </c>
      <c r="E23" s="29">
        <f t="shared" si="20"/>
        <v>324000</v>
      </c>
      <c r="F23" s="29">
        <f t="shared" si="20"/>
        <v>350000</v>
      </c>
      <c r="G23" s="29">
        <f t="shared" si="20"/>
        <v>376000</v>
      </c>
      <c r="H23" s="29">
        <f t="shared" si="20"/>
        <v>401800</v>
      </c>
      <c r="I23" s="29">
        <f t="shared" si="20"/>
        <v>427800</v>
      </c>
      <c r="K23" s="55"/>
      <c r="L23" s="55"/>
      <c r="M23" s="55"/>
      <c r="N23" s="55"/>
      <c r="O23" s="55"/>
      <c r="P23" s="55"/>
      <c r="Q23" s="55"/>
      <c r="R23" s="55"/>
      <c r="T23" s="30"/>
      <c r="U23" s="30"/>
      <c r="V23" s="30"/>
      <c r="W23" s="30"/>
      <c r="X23" s="30"/>
      <c r="Y23" s="30"/>
      <c r="Z23" s="30"/>
      <c r="AA23" s="30"/>
    </row>
    <row r="24" spans="1:27" ht="15.75" x14ac:dyDescent="0.25">
      <c r="A24" s="19">
        <f t="shared" si="3"/>
        <v>2.1000000000000005</v>
      </c>
      <c r="B24" s="20">
        <f>B8*4.2</f>
        <v>238140</v>
      </c>
      <c r="C24" s="20">
        <f t="shared" ref="C24:E24" si="21">C8*4.2</f>
        <v>272160</v>
      </c>
      <c r="D24" s="20">
        <f t="shared" si="21"/>
        <v>306180</v>
      </c>
      <c r="E24" s="20">
        <f t="shared" si="21"/>
        <v>340200</v>
      </c>
      <c r="F24" s="20">
        <f>F8*4.2</f>
        <v>367500</v>
      </c>
      <c r="G24" s="20">
        <f t="shared" ref="G24:I24" si="22">G8*4.2</f>
        <v>394800</v>
      </c>
      <c r="H24" s="20">
        <f t="shared" si="22"/>
        <v>421890</v>
      </c>
      <c r="I24" s="20">
        <f t="shared" si="22"/>
        <v>449190</v>
      </c>
      <c r="K24" s="55"/>
      <c r="L24" s="55"/>
      <c r="M24" s="55"/>
      <c r="N24" s="55"/>
      <c r="O24" s="55"/>
      <c r="P24" s="55"/>
      <c r="Q24" s="55"/>
      <c r="R24" s="55"/>
      <c r="T24" s="30"/>
      <c r="U24" s="30"/>
      <c r="V24" s="30"/>
      <c r="W24" s="30"/>
      <c r="X24" s="30"/>
      <c r="Y24" s="30"/>
      <c r="Z24" s="30"/>
      <c r="AA24" s="30"/>
    </row>
    <row r="25" spans="1:27" ht="15.75" x14ac:dyDescent="0.25">
      <c r="A25" s="21">
        <f t="shared" si="3"/>
        <v>2.2000000000000006</v>
      </c>
      <c r="B25" s="29">
        <f>B8*4.4</f>
        <v>249480.00000000003</v>
      </c>
      <c r="C25" s="29">
        <f t="shared" ref="C25:E25" si="23">C8*4.4</f>
        <v>285120</v>
      </c>
      <c r="D25" s="29">
        <f t="shared" si="23"/>
        <v>320760</v>
      </c>
      <c r="E25" s="29">
        <f t="shared" si="23"/>
        <v>356400</v>
      </c>
      <c r="F25" s="29">
        <f>F8*4.4</f>
        <v>385000.00000000006</v>
      </c>
      <c r="G25" s="29">
        <f t="shared" ref="G25:I25" si="24">G8*4.4</f>
        <v>413600.00000000006</v>
      </c>
      <c r="H25" s="29">
        <f t="shared" si="24"/>
        <v>441980.00000000006</v>
      </c>
      <c r="I25" s="29">
        <f t="shared" si="24"/>
        <v>470580.00000000006</v>
      </c>
      <c r="K25" s="55"/>
      <c r="L25" s="55"/>
      <c r="M25" s="55"/>
      <c r="N25" s="55"/>
      <c r="O25" s="55"/>
      <c r="P25" s="55"/>
      <c r="Q25" s="55"/>
      <c r="R25" s="55"/>
      <c r="T25" s="30"/>
      <c r="U25" s="30"/>
      <c r="V25" s="30"/>
      <c r="W25" s="30"/>
      <c r="X25" s="30"/>
      <c r="Y25" s="30"/>
      <c r="Z25" s="30"/>
      <c r="AA25" s="30"/>
    </row>
    <row r="26" spans="1:27" ht="15.75" x14ac:dyDescent="0.25">
      <c r="A26" s="19">
        <f t="shared" si="3"/>
        <v>2.3000000000000007</v>
      </c>
      <c r="B26" s="20">
        <f>B8*4.6</f>
        <v>260819.99999999997</v>
      </c>
      <c r="C26" s="20">
        <f t="shared" ref="C26:E26" si="25">C8*4.6</f>
        <v>298080</v>
      </c>
      <c r="D26" s="20">
        <f t="shared" si="25"/>
        <v>335340</v>
      </c>
      <c r="E26" s="20">
        <f t="shared" si="25"/>
        <v>372600</v>
      </c>
      <c r="F26" s="20">
        <f>F8*4.6</f>
        <v>402499.99999999994</v>
      </c>
      <c r="G26" s="20">
        <f t="shared" ref="G26:I26" si="26">G8*4.6</f>
        <v>432399.99999999994</v>
      </c>
      <c r="H26" s="20">
        <f t="shared" si="26"/>
        <v>462069.99999999994</v>
      </c>
      <c r="I26" s="20">
        <f t="shared" si="26"/>
        <v>491969.99999999994</v>
      </c>
      <c r="K26" s="55"/>
      <c r="L26" s="55"/>
      <c r="M26" s="55"/>
      <c r="N26" s="55"/>
      <c r="O26" s="55"/>
      <c r="P26" s="55"/>
      <c r="Q26" s="55"/>
      <c r="R26" s="55"/>
      <c r="T26" s="30"/>
      <c r="U26" s="30"/>
      <c r="V26" s="30"/>
      <c r="W26" s="30"/>
      <c r="X26" s="30"/>
      <c r="Y26" s="30"/>
      <c r="Z26" s="30"/>
      <c r="AA26" s="30"/>
    </row>
    <row r="27" spans="1:27" ht="15.75" x14ac:dyDescent="0.25">
      <c r="A27" s="21">
        <f t="shared" si="3"/>
        <v>2.4000000000000008</v>
      </c>
      <c r="B27" s="29">
        <f>B8*4.8</f>
        <v>272160</v>
      </c>
      <c r="C27" s="29">
        <f t="shared" ref="C27:E27" si="27">C8*4.8</f>
        <v>311040</v>
      </c>
      <c r="D27" s="29">
        <f t="shared" si="27"/>
        <v>349920</v>
      </c>
      <c r="E27" s="29">
        <f t="shared" si="27"/>
        <v>388800</v>
      </c>
      <c r="F27" s="29">
        <f>F8*4.8</f>
        <v>420000</v>
      </c>
      <c r="G27" s="29">
        <f t="shared" ref="G27:I27" si="28">G8*4.8</f>
        <v>451200</v>
      </c>
      <c r="H27" s="29">
        <f t="shared" si="28"/>
        <v>482160</v>
      </c>
      <c r="I27" s="29">
        <f t="shared" si="28"/>
        <v>513360</v>
      </c>
      <c r="K27" s="55"/>
      <c r="L27" s="55"/>
      <c r="M27" s="55"/>
      <c r="N27" s="55"/>
      <c r="O27" s="55"/>
      <c r="P27" s="55"/>
      <c r="Q27" s="55"/>
      <c r="R27" s="55"/>
      <c r="T27" s="30"/>
      <c r="U27" s="30"/>
      <c r="V27" s="30"/>
      <c r="W27" s="30"/>
      <c r="X27" s="30"/>
      <c r="Y27" s="30"/>
      <c r="Z27" s="30"/>
      <c r="AA27" s="30"/>
    </row>
    <row r="28" spans="1:27" ht="16.5" thickBot="1" x14ac:dyDescent="0.3">
      <c r="A28" s="24">
        <f t="shared" si="3"/>
        <v>2.5000000000000009</v>
      </c>
      <c r="B28" s="25">
        <f>B8*5</f>
        <v>283500</v>
      </c>
      <c r="C28" s="25">
        <f t="shared" ref="C28:E28" si="29">C8*5</f>
        <v>324000</v>
      </c>
      <c r="D28" s="25">
        <f t="shared" si="29"/>
        <v>364500</v>
      </c>
      <c r="E28" s="25">
        <f t="shared" si="29"/>
        <v>405000</v>
      </c>
      <c r="F28" s="25">
        <f>F8*5</f>
        <v>437500</v>
      </c>
      <c r="G28" s="25">
        <f t="shared" ref="G28:I28" si="30">G8*5</f>
        <v>470000</v>
      </c>
      <c r="H28" s="25">
        <f t="shared" si="30"/>
        <v>502250</v>
      </c>
      <c r="I28" s="25">
        <f t="shared" si="30"/>
        <v>534750</v>
      </c>
      <c r="K28" s="55"/>
      <c r="L28" s="55"/>
      <c r="M28" s="55"/>
      <c r="N28" s="55"/>
      <c r="O28" s="55"/>
      <c r="P28" s="55"/>
      <c r="Q28" s="55"/>
      <c r="R28" s="55"/>
      <c r="T28" s="30"/>
      <c r="U28" s="30"/>
      <c r="V28" s="30"/>
      <c r="W28" s="30"/>
      <c r="X28" s="30"/>
      <c r="Y28" s="30"/>
      <c r="Z28" s="30"/>
      <c r="AA28" s="30"/>
    </row>
    <row r="29" spans="1:27" x14ac:dyDescent="0.2">
      <c r="A29" s="23"/>
    </row>
    <row r="30" spans="1:27" x14ac:dyDescent="0.2">
      <c r="A30" s="8"/>
      <c r="I30" s="15"/>
    </row>
    <row r="31" spans="1:27" x14ac:dyDescent="0.2">
      <c r="A31" s="23"/>
    </row>
    <row r="32" spans="1:27" x14ac:dyDescent="0.2">
      <c r="A32" s="23"/>
    </row>
    <row r="33" spans="1:18" ht="15.75" x14ac:dyDescent="0.25">
      <c r="A33" s="23"/>
      <c r="K33" s="55"/>
      <c r="L33" s="55"/>
      <c r="M33" s="55"/>
      <c r="N33" s="55"/>
      <c r="O33" s="55"/>
      <c r="P33" s="55"/>
      <c r="Q33" s="55"/>
      <c r="R33" s="55"/>
    </row>
    <row r="34" spans="1:18" ht="15.75" x14ac:dyDescent="0.25">
      <c r="A34" s="23"/>
      <c r="D34" s="54"/>
      <c r="E34" s="54"/>
      <c r="K34" s="55"/>
      <c r="L34" s="55"/>
      <c r="M34" s="55"/>
      <c r="N34" s="55"/>
      <c r="O34" s="55"/>
      <c r="P34" s="55"/>
      <c r="Q34" s="55"/>
      <c r="R34" s="55"/>
    </row>
    <row r="35" spans="1:18" ht="15.75" x14ac:dyDescent="0.25">
      <c r="A35" s="23"/>
      <c r="D35" s="54"/>
      <c r="E35" s="54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</row>
    <row r="36" spans="1:18" ht="15.75" x14ac:dyDescent="0.25">
      <c r="A36" s="23"/>
      <c r="D36" s="54"/>
      <c r="E36" s="54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</row>
    <row r="37" spans="1:18" ht="15.75" x14ac:dyDescent="0.25">
      <c r="A37" s="23"/>
      <c r="D37" s="54"/>
      <c r="E37" s="54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1:18" ht="15.75" x14ac:dyDescent="0.25">
      <c r="A38" s="23"/>
      <c r="D38" s="54"/>
      <c r="E38" s="54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spans="1:18" ht="15.75" x14ac:dyDescent="0.25">
      <c r="A39" s="23"/>
      <c r="D39" s="54"/>
      <c r="E39" s="54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</row>
    <row r="40" spans="1:18" ht="15.75" x14ac:dyDescent="0.25">
      <c r="A40" s="23"/>
      <c r="D40" s="54"/>
      <c r="E40" s="54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</row>
    <row r="41" spans="1:18" ht="15.75" x14ac:dyDescent="0.25">
      <c r="A41" s="23"/>
      <c r="D41" s="54"/>
      <c r="E41" s="54"/>
      <c r="G41" s="55"/>
      <c r="H41" s="55"/>
      <c r="I41" s="55"/>
      <c r="J41" s="55"/>
      <c r="K41" s="55"/>
      <c r="L41" s="55"/>
      <c r="M41" s="55"/>
      <c r="N41" s="55"/>
    </row>
    <row r="42" spans="1:18" ht="15.75" x14ac:dyDescent="0.25">
      <c r="G42" s="55"/>
      <c r="H42" s="55"/>
      <c r="I42" s="55"/>
      <c r="J42" s="55"/>
      <c r="K42" s="55"/>
      <c r="L42" s="55"/>
      <c r="M42" s="55"/>
      <c r="N42" s="55"/>
    </row>
  </sheetData>
  <mergeCells count="1">
    <mergeCell ref="A1:I1"/>
  </mergeCells>
  <pageMargins left="0.7" right="0.7" top="0.75" bottom="0.75" header="0.3" footer="0.3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2"/>
  <sheetViews>
    <sheetView workbookViewId="0">
      <selection activeCell="C35" sqref="C35:C36"/>
    </sheetView>
  </sheetViews>
  <sheetFormatPr defaultColWidth="8.6640625" defaultRowHeight="15" x14ac:dyDescent="0.2"/>
  <cols>
    <col min="1" max="1" width="26.88671875" bestFit="1" customWidth="1"/>
  </cols>
  <sheetData>
    <row r="1" spans="1:1" x14ac:dyDescent="0.2">
      <c r="A1" t="s">
        <v>17</v>
      </c>
    </row>
    <row r="2" spans="1:1" x14ac:dyDescent="0.2">
      <c r="A2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b9c575-1ad1-48fe-90df-ed90d60f0614">
      <Terms xmlns="http://schemas.microsoft.com/office/infopath/2007/PartnerControls"/>
    </lcf76f155ced4ddcb4097134ff3c332f>
    <TaxCatchAll xmlns="e79d39f6-0de2-4784-9193-4d24666cb90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D68F302491694683B87863A5DF64E8" ma:contentTypeVersion="12" ma:contentTypeDescription="Create a new document." ma:contentTypeScope="" ma:versionID="416ff11f756774c8f7695a89948baeea">
  <xsd:schema xmlns:xsd="http://www.w3.org/2001/XMLSchema" xmlns:xs="http://www.w3.org/2001/XMLSchema" xmlns:p="http://schemas.microsoft.com/office/2006/metadata/properties" xmlns:ns2="2bb9c575-1ad1-48fe-90df-ed90d60f0614" xmlns:ns3="e79d39f6-0de2-4784-9193-4d24666cb90a" targetNamespace="http://schemas.microsoft.com/office/2006/metadata/properties" ma:root="true" ma:fieldsID="e38300c425aa4017aae9f2a26536bde8" ns2:_="" ns3:_="">
    <xsd:import namespace="2bb9c575-1ad1-48fe-90df-ed90d60f0614"/>
    <xsd:import namespace="e79d39f6-0de2-4784-9193-4d24666cb9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9c575-1ad1-48fe-90df-ed90d60f0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9d39f6-0de2-4784-9193-4d24666cb90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3d3ac8d-025c-416f-a952-8a924096d68a}" ma:internalName="TaxCatchAll" ma:showField="CatchAllData" ma:web="e79d39f6-0de2-4784-9193-4d24666cb9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3A1D33-16C6-4F45-B39F-030FACA1D8E3}">
  <ds:schemaRefs>
    <ds:schemaRef ds:uri="http://schemas.microsoft.com/office/2006/metadata/properties"/>
    <ds:schemaRef ds:uri="http://schemas.microsoft.com/office/infopath/2007/PartnerControls"/>
    <ds:schemaRef ds:uri="2bb9c575-1ad1-48fe-90df-ed90d60f0614"/>
    <ds:schemaRef ds:uri="e79d39f6-0de2-4784-9193-4d24666cb90a"/>
  </ds:schemaRefs>
</ds:datastoreItem>
</file>

<file path=customXml/itemProps2.xml><?xml version="1.0" encoding="utf-8"?>
<ds:datastoreItem xmlns:ds="http://schemas.openxmlformats.org/officeDocument/2006/customXml" ds:itemID="{AFEA0054-B5CA-4364-9D0B-0B7D1819E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b9c575-1ad1-48fe-90df-ed90d60f0614"/>
    <ds:schemaRef ds:uri="e79d39f6-0de2-4784-9193-4d24666cb9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A99A16-9352-44F6-96F4-415DAEF7D8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AMI &amp; Rent</vt:lpstr>
      <vt:lpstr>'AMI &amp; Rent'!Print_Area</vt:lpstr>
      <vt:lpstr>AMI_Table!Print_Area</vt:lpstr>
      <vt:lpstr>ProjectType</vt:lpstr>
    </vt:vector>
  </TitlesOfParts>
  <Company>NYCHDC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jlee</dc:creator>
  <cp:lastModifiedBy>Knight, David</cp:lastModifiedBy>
  <cp:lastPrinted>2021-05-03T17:47:11Z</cp:lastPrinted>
  <dcterms:created xsi:type="dcterms:W3CDTF">2011-08-02T19:06:01Z</dcterms:created>
  <dcterms:modified xsi:type="dcterms:W3CDTF">2026-05-28T15:42:34Z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0x010100FED68F302491694683B87863A5DF64E8</vt:lpwstr>
  </property>
  <property fmtid="{D5CDD505-2E9C-101B-9397-08002B2CF9AE}" pid="3" name="MSIP_Label_ebba276f-0474-4e48-a2bc-69b0eb22318c_Enabled">
    <vt:lpwstr>true</vt:lpwstr>
  </property>
  <property fmtid="{D5CDD505-2E9C-101B-9397-08002B2CF9AE}" pid="4" name="MSIP_Label_ebba276f-0474-4e48-a2bc-69b0eb22318c_SetDate">
    <vt:lpwstr>2025-04-10T16:59:09Z</vt:lpwstr>
  </property>
  <property fmtid="{D5CDD505-2E9C-101B-9397-08002B2CF9AE}" pid="5" name="MSIP_Label_ebba276f-0474-4e48-a2bc-69b0eb22318c_Method">
    <vt:lpwstr>Standard</vt:lpwstr>
  </property>
  <property fmtid="{D5CDD505-2E9C-101B-9397-08002B2CF9AE}" pid="6" name="MSIP_Label_ebba276f-0474-4e48-a2bc-69b0eb22318c_Name">
    <vt:lpwstr>Non-Restricted-Main</vt:lpwstr>
  </property>
  <property fmtid="{D5CDD505-2E9C-101B-9397-08002B2CF9AE}" pid="7" name="MSIP_Label_ebba276f-0474-4e48-a2bc-69b0eb22318c_SiteId">
    <vt:lpwstr>32f56fc7-5f81-4e22-a95b-15da66513bef</vt:lpwstr>
  </property>
  <property fmtid="{D5CDD505-2E9C-101B-9397-08002B2CF9AE}" pid="8" name="MSIP_Label_ebba276f-0474-4e48-a2bc-69b0eb22318c_ActionId">
    <vt:lpwstr>c4bbe62e-af34-4523-b002-3711699e373e</vt:lpwstr>
  </property>
  <property fmtid="{D5CDD505-2E9C-101B-9397-08002B2CF9AE}" pid="9" name="MSIP_Label_ebba276f-0474-4e48-a2bc-69b0eb22318c_ContentBits">
    <vt:lpwstr>0</vt:lpwstr>
  </property>
</Properties>
</file>