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drawings/drawing8.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1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harts/chart1.xml" ContentType="application/vnd.openxmlformats-officedocument.drawingml.chart+xml"/>
  <Override PartName="/xl/drawings/drawing14.xml" ContentType="application/vnd.openxmlformats-officedocument.drawing+xml"/>
  <Override PartName="/xl/charts/chart2.xml" ContentType="application/vnd.openxmlformats-officedocument.drawingml.chart+xml"/>
  <Override PartName="/xl/drawings/drawing15.xml" ContentType="application/vnd.openxmlformats-officedocument.drawing+xml"/>
  <Override PartName="/xl/charts/chart3.xml" ContentType="application/vnd.openxmlformats-officedocument.drawingml.chart+xml"/>
  <Override PartName="/xl/drawings/drawing16.xml" ContentType="application/vnd.openxmlformats-officedocument.drawing+xml"/>
  <Override PartName="/xl/charts/chart4.xml" ContentType="application/vnd.openxmlformats-officedocument.drawingml.chart+xml"/>
  <Override PartName="/xl/drawings/drawing17.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19.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5.xml" ContentType="application/vnd.openxmlformats-officedocument.spreadsheetml.externalLink+xml"/>
  <Override PartName="/xl/externalLinks/externalLink4.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xl/externalLinks/externalLink6.xml" ContentType="application/vnd.openxmlformats-officedocument.spreadsheetml.externalLink+xml"/>
  <Override PartName="/docProps/app.xml" ContentType="application/vnd.openxmlformats-officedocument.extended-properties+xml"/>
  <Override PartName="/xl/externalLinks/externalLink7.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defaultThemeVersion="124226"/>
  <mc:AlternateContent xmlns:mc="http://schemas.openxmlformats.org/markup-compatibility/2006">
    <mc:Choice Requires="x15">
      <x15ac:absPath xmlns:x15ac="http://schemas.microsoft.com/office/spreadsheetml/2010/11/ac" url="F:\apps\taxpol\PROPERTY\Reports\FY17 Annual Report\"/>
    </mc:Choice>
  </mc:AlternateContent>
  <xr:revisionPtr revIDLastSave="0" documentId="13_ncr:1_{2BB3E597-D98A-4B5A-8770-3A8FB20DE17A}" xr6:coauthVersionLast="43" xr6:coauthVersionMax="43" xr10:uidLastSave="{00000000-0000-0000-0000-000000000000}"/>
  <bookViews>
    <workbookView xWindow="-60" yWindow="-60" windowWidth="24120" windowHeight="12960" xr2:uid="{00000000-000D-0000-FFFF-FFFF00000000}"/>
  </bookViews>
  <sheets>
    <sheet name="Table of Contents" sheetId="1" r:id="rId1"/>
    <sheet name="&quot;Fast Facts&quot;" sheetId="2" r:id="rId2"/>
    <sheet name="Table 1 - Citywide" sheetId="3" r:id="rId3"/>
    <sheet name="Table 1 - Manhattan" sheetId="4" r:id="rId4"/>
    <sheet name="Table 1 - Bronx" sheetId="5" r:id="rId5"/>
    <sheet name="Table 1 - Brooklyn" sheetId="6" r:id="rId6"/>
    <sheet name="Table 1 - Queens" sheetId="7" r:id="rId7"/>
    <sheet name="Table 1 - Staten Island" sheetId="8" r:id="rId8"/>
    <sheet name="Table 2 - Citywide" sheetId="9" r:id="rId9"/>
    <sheet name="Table 2 - Manhattan" sheetId="10" r:id="rId10"/>
    <sheet name="Table 2 - Bronx" sheetId="11" r:id="rId11"/>
    <sheet name="Table 2 - Brooklyn" sheetId="12" r:id="rId12"/>
    <sheet name="Table 2 - Queens" sheetId="13" r:id="rId13"/>
    <sheet name="Table 2 - Staten Island" sheetId="14" r:id="rId14"/>
    <sheet name="Table 3 - Citywide" sheetId="15" r:id="rId15"/>
    <sheet name="Table 3 - Manhattan" sheetId="16" r:id="rId16"/>
    <sheet name="Table 3 - Bronx" sheetId="17" r:id="rId17"/>
    <sheet name="Table 3 - Brooklyn" sheetId="18" r:id="rId18"/>
    <sheet name="Table 3 - Queens" sheetId="19" r:id="rId19"/>
    <sheet name="Table 3 - Staten Island" sheetId="20" r:id="rId20"/>
    <sheet name="Table 4" sheetId="21" r:id="rId21"/>
    <sheet name="Table 5" sheetId="22" r:id="rId22"/>
    <sheet name="Table 6" sheetId="23" r:id="rId23"/>
    <sheet name="Table 7" sheetId="24" r:id="rId24"/>
    <sheet name="Table 8" sheetId="25" r:id="rId25"/>
    <sheet name="Table 9" sheetId="26" r:id="rId26"/>
    <sheet name="Table 10" sheetId="27" r:id="rId27"/>
    <sheet name="Table 11" sheetId="28" r:id="rId28"/>
    <sheet name="Table 12" sheetId="29" r:id="rId29"/>
    <sheet name="Table 13" sheetId="30" r:id="rId30"/>
    <sheet name="Table 14" sheetId="31" r:id="rId31"/>
    <sheet name="Table 15" sheetId="32" r:id="rId32"/>
    <sheet name="Table 16" sheetId="33" r:id="rId33"/>
    <sheet name="Table 17" sheetId="34" r:id="rId34"/>
    <sheet name="Table 18" sheetId="35" r:id="rId35"/>
    <sheet name="Table 19" sheetId="36" r:id="rId36"/>
    <sheet name="Table 20" sheetId="37" r:id="rId37"/>
    <sheet name="Table 21" sheetId="38" r:id="rId38"/>
    <sheet name="Table 22" sheetId="39" r:id="rId39"/>
    <sheet name="Table 23" sheetId="40" r:id="rId40"/>
  </sheets>
  <externalReferences>
    <externalReference r:id="rId41"/>
    <externalReference r:id="rId42"/>
    <externalReference r:id="rId43"/>
    <externalReference r:id="rId44"/>
    <externalReference r:id="rId45"/>
    <externalReference r:id="rId46"/>
    <externalReference r:id="rId47"/>
  </externalReferenc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3" i="40" l="1"/>
  <c r="C22" i="40"/>
  <c r="C21" i="40"/>
  <c r="C20" i="40"/>
  <c r="C19" i="40"/>
  <c r="C18" i="40"/>
  <c r="C17" i="40"/>
  <c r="C16" i="40"/>
  <c r="C15" i="40"/>
  <c r="C14" i="40"/>
  <c r="C13" i="40"/>
  <c r="C12" i="40"/>
  <c r="C11" i="40"/>
  <c r="C10" i="40"/>
  <c r="C9" i="40"/>
  <c r="B9" i="40"/>
  <c r="B10" i="40" s="1"/>
  <c r="B11" i="40" s="1"/>
  <c r="B12" i="40" s="1"/>
  <c r="B13" i="40" s="1"/>
  <c r="B14" i="40" s="1"/>
  <c r="B15" i="40" s="1"/>
  <c r="B16" i="40" s="1"/>
  <c r="B17" i="40" s="1"/>
  <c r="B18" i="40" s="1"/>
  <c r="B19" i="40" s="1"/>
  <c r="B20" i="40" s="1"/>
  <c r="B21" i="40" s="1"/>
  <c r="B22" i="40" s="1"/>
  <c r="B23" i="40" s="1"/>
  <c r="C8" i="40"/>
  <c r="C7" i="40"/>
  <c r="C6" i="40"/>
  <c r="AJ34" i="39" l="1"/>
  <c r="AI34" i="39"/>
  <c r="O29" i="39" s="1"/>
  <c r="AH34" i="39"/>
  <c r="AG34" i="39"/>
  <c r="O27" i="39" s="1"/>
  <c r="AF34" i="39"/>
  <c r="O26" i="39" s="1"/>
  <c r="AE34" i="39"/>
  <c r="O25" i="39" s="1"/>
  <c r="AD34" i="39"/>
  <c r="O24" i="39" s="1"/>
  <c r="AC34" i="39"/>
  <c r="O23" i="39" s="1"/>
  <c r="AA34" i="39"/>
  <c r="Z34" i="39"/>
  <c r="J30" i="39"/>
  <c r="E30" i="39"/>
  <c r="G30" i="39" s="1"/>
  <c r="J29" i="39"/>
  <c r="E29" i="39"/>
  <c r="G29" i="39" s="1"/>
  <c r="O28" i="39"/>
  <c r="J28" i="39"/>
  <c r="E28" i="39"/>
  <c r="G28" i="39" s="1"/>
  <c r="J27" i="39"/>
  <c r="E27" i="39"/>
  <c r="G27" i="39" s="1"/>
  <c r="J26" i="39"/>
  <c r="E26" i="39"/>
  <c r="G26" i="39" s="1"/>
  <c r="K26" i="39" s="1"/>
  <c r="AB25" i="39"/>
  <c r="AB34" i="39" s="1"/>
  <c r="O22" i="39" s="1"/>
  <c r="Y25" i="39"/>
  <c r="Y34" i="39" s="1"/>
  <c r="O19" i="39" s="1"/>
  <c r="X25" i="39"/>
  <c r="X34" i="39" s="1"/>
  <c r="O18" i="39" s="1"/>
  <c r="J25" i="39"/>
  <c r="C25" i="39"/>
  <c r="E25" i="39" s="1"/>
  <c r="G25" i="39" s="1"/>
  <c r="K25" i="39" s="1"/>
  <c r="J24" i="39"/>
  <c r="E24" i="39"/>
  <c r="G24" i="39" s="1"/>
  <c r="J23" i="39"/>
  <c r="E23" i="39"/>
  <c r="G23" i="39" s="1"/>
  <c r="J22" i="39"/>
  <c r="C22" i="39"/>
  <c r="E22" i="39" s="1"/>
  <c r="G22" i="39" s="1"/>
  <c r="J21" i="39"/>
  <c r="E21" i="39"/>
  <c r="G21" i="39" s="1"/>
  <c r="J20" i="39"/>
  <c r="E20" i="39"/>
  <c r="G20" i="39" s="1"/>
  <c r="J19" i="39"/>
  <c r="E19" i="39"/>
  <c r="G19" i="39" s="1"/>
  <c r="J18" i="39"/>
  <c r="E18" i="39"/>
  <c r="G18" i="39" s="1"/>
  <c r="J17" i="39"/>
  <c r="E17" i="39"/>
  <c r="G17" i="39" s="1"/>
  <c r="J16" i="39"/>
  <c r="C16" i="39"/>
  <c r="E16" i="39" s="1"/>
  <c r="G16" i="39" s="1"/>
  <c r="J15" i="39"/>
  <c r="E15" i="39"/>
  <c r="G15" i="39" s="1"/>
  <c r="K15" i="39" s="1"/>
  <c r="J14" i="39"/>
  <c r="E14" i="39"/>
  <c r="G14" i="39" s="1"/>
  <c r="J13" i="39"/>
  <c r="E13" i="39"/>
  <c r="G13" i="39" s="1"/>
  <c r="K13" i="39" s="1"/>
  <c r="J12" i="39"/>
  <c r="E12" i="39"/>
  <c r="G12" i="39" s="1"/>
  <c r="K12" i="39" s="1"/>
  <c r="J11" i="39"/>
  <c r="E11" i="39"/>
  <c r="G11" i="39" s="1"/>
  <c r="K30" i="39" l="1"/>
  <c r="K14" i="39"/>
  <c r="R14" i="39" s="1"/>
  <c r="K28" i="39"/>
  <c r="R28" i="39" s="1"/>
  <c r="K19" i="39"/>
  <c r="R19" i="39" s="1"/>
  <c r="K11" i="39"/>
  <c r="M11" i="39" s="1"/>
  <c r="K22" i="39"/>
  <c r="M22" i="39" s="1"/>
  <c r="K24" i="39"/>
  <c r="R24" i="39" s="1"/>
  <c r="K23" i="39"/>
  <c r="M23" i="39" s="1"/>
  <c r="K20" i="39"/>
  <c r="M20" i="39" s="1"/>
  <c r="K16" i="39"/>
  <c r="K29" i="39"/>
  <c r="K17" i="39"/>
  <c r="K27" i="39"/>
  <c r="R30" i="39"/>
  <c r="M30" i="39"/>
  <c r="R12" i="39"/>
  <c r="M12" i="39"/>
  <c r="M15" i="39"/>
  <c r="R15" i="39"/>
  <c r="K18" i="39"/>
  <c r="K21" i="39"/>
  <c r="R25" i="39"/>
  <c r="M25" i="39"/>
  <c r="R13" i="39"/>
  <c r="M13" i="39"/>
  <c r="R22" i="39"/>
  <c r="R26" i="39"/>
  <c r="M26" i="39"/>
  <c r="M14" i="39"/>
  <c r="R23" i="39" l="1"/>
  <c r="M24" i="39"/>
  <c r="R11" i="39"/>
  <c r="M28" i="39"/>
  <c r="M19" i="39"/>
  <c r="R20" i="39"/>
  <c r="R27" i="39"/>
  <c r="M27" i="39"/>
  <c r="R17" i="39"/>
  <c r="M17" i="39"/>
  <c r="R21" i="39"/>
  <c r="M21" i="39"/>
  <c r="R29" i="39"/>
  <c r="M29" i="39"/>
  <c r="R16" i="39"/>
  <c r="M16" i="39"/>
  <c r="R18" i="39"/>
  <c r="M18" i="39"/>
  <c r="N27" i="35" l="1"/>
  <c r="L27" i="35"/>
  <c r="J27" i="35"/>
  <c r="H27" i="35"/>
  <c r="F27" i="35"/>
  <c r="N26" i="35"/>
  <c r="L26" i="35"/>
  <c r="J26" i="35"/>
  <c r="H26" i="35"/>
  <c r="F26" i="35"/>
  <c r="N25" i="35"/>
  <c r="L25" i="35"/>
  <c r="J25" i="35"/>
  <c r="H25" i="35"/>
  <c r="F25" i="35"/>
  <c r="D25" i="35" s="1"/>
  <c r="N24" i="35"/>
  <c r="L24" i="35"/>
  <c r="J24" i="35"/>
  <c r="H24" i="35"/>
  <c r="F24" i="35"/>
  <c r="N23" i="35"/>
  <c r="L23" i="35"/>
  <c r="J23" i="35"/>
  <c r="H23" i="35"/>
  <c r="F23" i="35"/>
  <c r="N22" i="35"/>
  <c r="L22" i="35"/>
  <c r="J22" i="35"/>
  <c r="H22" i="35"/>
  <c r="F22" i="35"/>
  <c r="D21" i="35"/>
  <c r="D17" i="35"/>
  <c r="D16" i="35"/>
  <c r="D15" i="35"/>
  <c r="D14" i="35"/>
  <c r="D13" i="35"/>
  <c r="D12" i="35"/>
  <c r="D11" i="35"/>
  <c r="D10" i="35"/>
  <c r="D9" i="35"/>
  <c r="D8" i="35"/>
  <c r="D24" i="35" l="1"/>
  <c r="D22" i="35"/>
  <c r="D27" i="35"/>
  <c r="D26" i="35"/>
  <c r="D23" i="35"/>
  <c r="K52" i="34" l="1"/>
  <c r="I52" i="34"/>
  <c r="G52" i="34"/>
  <c r="E52" i="34"/>
  <c r="C52" i="34" s="1"/>
  <c r="K51" i="34"/>
  <c r="I51" i="34"/>
  <c r="G51" i="34"/>
  <c r="E51" i="34"/>
  <c r="K50" i="34"/>
  <c r="I50" i="34"/>
  <c r="G50" i="34"/>
  <c r="E50" i="34"/>
  <c r="K49" i="34"/>
  <c r="I49" i="34"/>
  <c r="G49" i="34"/>
  <c r="E49" i="34"/>
  <c r="K48" i="34"/>
  <c r="I48" i="34"/>
  <c r="G48" i="34"/>
  <c r="E48" i="34"/>
  <c r="K47" i="34"/>
  <c r="I47" i="34"/>
  <c r="G47" i="34"/>
  <c r="E47" i="34"/>
  <c r="C46" i="34"/>
  <c r="C45" i="34"/>
  <c r="C44" i="34"/>
  <c r="C43" i="34"/>
  <c r="C42" i="34"/>
  <c r="C41" i="34"/>
  <c r="C40" i="34"/>
  <c r="C39" i="34"/>
  <c r="C38" i="34"/>
  <c r="C37" i="34"/>
  <c r="C36" i="34"/>
  <c r="C35" i="34"/>
  <c r="C34" i="34"/>
  <c r="C33" i="34"/>
  <c r="K27" i="34"/>
  <c r="I27" i="34"/>
  <c r="G27" i="34"/>
  <c r="E27" i="34"/>
  <c r="K26" i="34"/>
  <c r="I26" i="34"/>
  <c r="G26" i="34"/>
  <c r="E26" i="34"/>
  <c r="K25" i="34"/>
  <c r="I25" i="34"/>
  <c r="G25" i="34"/>
  <c r="E25" i="34"/>
  <c r="K24" i="34"/>
  <c r="I24" i="34"/>
  <c r="G24" i="34"/>
  <c r="E24" i="34"/>
  <c r="K23" i="34"/>
  <c r="I23" i="34"/>
  <c r="G23" i="34"/>
  <c r="E23" i="34"/>
  <c r="K22" i="34"/>
  <c r="I22" i="34"/>
  <c r="G22" i="34"/>
  <c r="E22" i="34"/>
  <c r="C21" i="34"/>
  <c r="C20" i="34"/>
  <c r="C19" i="34"/>
  <c r="C18" i="34"/>
  <c r="C17" i="34"/>
  <c r="C16" i="34"/>
  <c r="C15" i="34"/>
  <c r="C14" i="34"/>
  <c r="C13" i="34"/>
  <c r="C12" i="34"/>
  <c r="C11" i="34"/>
  <c r="C10" i="34"/>
  <c r="C9" i="34"/>
  <c r="C8" i="34"/>
  <c r="C47" i="34" l="1"/>
  <c r="C26" i="34"/>
  <c r="C49" i="34"/>
  <c r="C51" i="34"/>
  <c r="C22" i="34"/>
  <c r="C23" i="34"/>
  <c r="C24" i="34"/>
  <c r="C48" i="34"/>
  <c r="C50" i="34"/>
  <c r="C27" i="34"/>
  <c r="C25" i="34"/>
  <c r="L51" i="33"/>
  <c r="J51" i="33"/>
  <c r="H51" i="33"/>
  <c r="F51" i="33"/>
  <c r="D51" i="33"/>
  <c r="L50" i="33"/>
  <c r="J50" i="33"/>
  <c r="H50" i="33"/>
  <c r="F50" i="33"/>
  <c r="D50" i="33"/>
  <c r="L49" i="33"/>
  <c r="J49" i="33"/>
  <c r="H49" i="33"/>
  <c r="F49" i="33"/>
  <c r="D49" i="33"/>
  <c r="L48" i="33"/>
  <c r="J48" i="33"/>
  <c r="H48" i="33"/>
  <c r="F48" i="33"/>
  <c r="D48" i="33"/>
  <c r="L47" i="33"/>
  <c r="J47" i="33"/>
  <c r="H47" i="33"/>
  <c r="F47" i="33"/>
  <c r="D47" i="33"/>
  <c r="L46" i="33"/>
  <c r="J46" i="33"/>
  <c r="L27" i="33"/>
  <c r="J27" i="33"/>
  <c r="H27" i="33"/>
  <c r="F27" i="33"/>
  <c r="L26" i="33"/>
  <c r="J26" i="33"/>
  <c r="H26" i="33"/>
  <c r="F26" i="33"/>
  <c r="L25" i="33"/>
  <c r="J25" i="33"/>
  <c r="H25" i="33"/>
  <c r="F25" i="33"/>
  <c r="L24" i="33"/>
  <c r="J24" i="33"/>
  <c r="H24" i="33"/>
  <c r="F24" i="33"/>
  <c r="L23" i="33"/>
  <c r="J23" i="33"/>
  <c r="H23" i="33"/>
  <c r="F23" i="33"/>
  <c r="D22" i="33"/>
  <c r="D21" i="33"/>
  <c r="D20" i="33"/>
  <c r="D19" i="33"/>
  <c r="D18" i="33"/>
  <c r="D17" i="33"/>
  <c r="D16" i="33"/>
  <c r="D15" i="33"/>
  <c r="D14" i="33"/>
  <c r="D13" i="33"/>
  <c r="D12" i="33"/>
  <c r="D11" i="33"/>
  <c r="D10" i="33"/>
  <c r="D9" i="33"/>
  <c r="D8" i="33"/>
  <c r="D27" i="33" l="1"/>
  <c r="D25" i="33"/>
  <c r="D24" i="33"/>
  <c r="D26" i="33"/>
  <c r="D23" i="33"/>
</calcChain>
</file>

<file path=xl/sharedStrings.xml><?xml version="1.0" encoding="utf-8"?>
<sst xmlns="http://schemas.openxmlformats.org/spreadsheetml/2006/main" count="2123" uniqueCount="512">
  <si>
    <t>Table 4: Reconciliation of Assessment Roll, Tax Levy and Net Levy Billed</t>
  </si>
  <si>
    <t>Table 5: Abatements by Property Type and Abatement Type</t>
  </si>
  <si>
    <t>Table 6: Office Building Profile by Borough</t>
  </si>
  <si>
    <t>Table 7: Office Building Profile for Selected Areas</t>
  </si>
  <si>
    <t>Table 8: Office Building Profile for Selected Areas by Office Class</t>
  </si>
  <si>
    <t>Table 9: Office Building Profile Market and Assessed Value, Selected Areas,</t>
  </si>
  <si>
    <t>Table 10: Home Sales, Most Recent Four Quarters</t>
  </si>
  <si>
    <t>Table 11: Single-family Home Sales Transactions and Prices by Borough</t>
  </si>
  <si>
    <t>Table 12: Citywide Home Sales by Type of Property</t>
  </si>
  <si>
    <t>Table 13: Cooperative and Condominium Abatement Program</t>
  </si>
  <si>
    <t>Table 14: Tax Delinquency Comparison by Fiscal Year</t>
  </si>
  <si>
    <t>Table 15: Citywide Real Property Tax Delinquencies by Selected Property Types</t>
  </si>
  <si>
    <t>Table 16: Market Values by Tax Class and Borough, FY 1998 - FY 2017</t>
  </si>
  <si>
    <t>Table 17: Actual and Billable Assessed Value by Tax Class, FY 1998 - FY 2017</t>
  </si>
  <si>
    <t>Table 18: Taxable Billable Assessments by Borough, FY 1998 - FY 2017</t>
  </si>
  <si>
    <t>Table 19: Tax Levy Distribution by Class, FY 1998 - FY 2017</t>
  </si>
  <si>
    <t>Table 20: Real Property and School Tax Rates, FY 1998 - FY 2017</t>
  </si>
  <si>
    <t>Table 21: Real Property Tax Levy and Revenue, FY 1998 - FY 2017</t>
  </si>
  <si>
    <t>Table 22: Determination of the Unused Operating Margin, FY 1998 - FY 2017</t>
  </si>
  <si>
    <t>Table 23: Class Share Adjustment Cap, FY 1993 - FY 2017</t>
  </si>
  <si>
    <t>Fast Facts</t>
  </si>
  <si>
    <t>Annual Report of the New York City Property Tax</t>
  </si>
  <si>
    <t>Fiscal Year 2017</t>
  </si>
  <si>
    <t>Tables</t>
  </si>
  <si>
    <t xml:space="preserve"> "Fast Facts" for FY 2017</t>
  </si>
  <si>
    <t>($ Millions; Percent Change from FY 2016)</t>
  </si>
  <si>
    <t>Total Billable</t>
  </si>
  <si>
    <t>Properties</t>
  </si>
  <si>
    <t>Assessed Value</t>
  </si>
  <si>
    <t>Taxable Status</t>
  </si>
  <si>
    <t xml:space="preserve">Number </t>
  </si>
  <si>
    <t>% Change</t>
  </si>
  <si>
    <t xml:space="preserve">  Amount</t>
  </si>
  <si>
    <t>Citywide</t>
  </si>
  <si>
    <t>Fully Taxable</t>
  </si>
  <si>
    <t>Partially Taxable*</t>
  </si>
  <si>
    <t>Fully Exempt</t>
  </si>
  <si>
    <t>*   Total billable AV for this category includes both taxable and exempt assessed value.</t>
  </si>
  <si>
    <t>Taxable Actual</t>
  </si>
  <si>
    <t>Taxable Billable</t>
  </si>
  <si>
    <t>Market Value</t>
  </si>
  <si>
    <t xml:space="preserve">   Amount</t>
  </si>
  <si>
    <t>Manhattan</t>
  </si>
  <si>
    <t>Bronx</t>
  </si>
  <si>
    <t>Brooklyn</t>
  </si>
  <si>
    <t>Queens</t>
  </si>
  <si>
    <t>Staten Island</t>
  </si>
  <si>
    <t>Class 1</t>
  </si>
  <si>
    <t>Class 2</t>
  </si>
  <si>
    <t>Class 3</t>
  </si>
  <si>
    <t>Class 4</t>
  </si>
  <si>
    <t>Table excludes fully exempt properties.</t>
  </si>
  <si>
    <t>Percent</t>
  </si>
  <si>
    <t>Tax Rate</t>
  </si>
  <si>
    <t xml:space="preserve">Levy   </t>
  </si>
  <si>
    <t xml:space="preserve">of Levy </t>
  </si>
  <si>
    <t>(Per $100 of A. V.)</t>
  </si>
  <si>
    <t>Levy</t>
  </si>
  <si>
    <t>TAX CLASS</t>
  </si>
  <si>
    <t>CLASS 1</t>
  </si>
  <si>
    <t>CLASS 2</t>
  </si>
  <si>
    <t>CLASS 3</t>
  </si>
  <si>
    <t>CLASS 4</t>
  </si>
  <si>
    <t>CITYWIDE</t>
  </si>
  <si>
    <t>Table 1: Market and Assessed Value by Property Type -- Citywide and Boroughs</t>
  </si>
  <si>
    <t>Table 2: Tax Dollar Value of Real Property Tax Exemptions by Property Type -- Citywide and Boroughs</t>
  </si>
  <si>
    <t>Table 3: Tax Dollar Value of Real Property Tax Exemptions by Exemption Type - Citywide and Boroughs</t>
  </si>
  <si>
    <t xml:space="preserve">MARKET AND ASSESSED VALUE PROFILE </t>
  </si>
  <si>
    <t>TAXABLE PROPERTIES by PROPERTY TYPE</t>
  </si>
  <si>
    <t>FY 2017</t>
  </si>
  <si>
    <t>Residential</t>
  </si>
  <si>
    <t>Taxable Assessed Value</t>
  </si>
  <si>
    <t>Property Type</t>
  </si>
  <si>
    <t>Parcels</t>
  </si>
  <si>
    <t>Units or</t>
  </si>
  <si>
    <t/>
  </si>
  <si>
    <t>Actual</t>
  </si>
  <si>
    <t>Billable</t>
  </si>
  <si>
    <t>Area*</t>
  </si>
  <si>
    <t>$ Millions</t>
  </si>
  <si>
    <t>% of Total</t>
  </si>
  <si>
    <t xml:space="preserve">TOTAL </t>
  </si>
  <si>
    <t>1-Family</t>
  </si>
  <si>
    <t>2-Family</t>
  </si>
  <si>
    <t>3-Family</t>
  </si>
  <si>
    <t>Condominiums</t>
  </si>
  <si>
    <t>Vacant Land</t>
  </si>
  <si>
    <t>Other</t>
  </si>
  <si>
    <t>Rentals</t>
  </si>
  <si>
    <t>Cooperatives</t>
  </si>
  <si>
    <t>Conrentals</t>
  </si>
  <si>
    <t>Condops</t>
  </si>
  <si>
    <t>4-10 Family Rentals</t>
  </si>
  <si>
    <t xml:space="preserve">2-10 Family Cooperatives      </t>
  </si>
  <si>
    <t xml:space="preserve">2-10 Family Condominiums         </t>
  </si>
  <si>
    <t>2-10 Family Condops</t>
  </si>
  <si>
    <t>Special Franchise</t>
  </si>
  <si>
    <t>Locally Assessed</t>
  </si>
  <si>
    <t>Office Buildings</t>
  </si>
  <si>
    <t>Condo Office Buildings</t>
  </si>
  <si>
    <t>Loft Buildings</t>
  </si>
  <si>
    <t>Store Buildings</t>
  </si>
  <si>
    <t>Condo Store Buildings</t>
  </si>
  <si>
    <t>Factories</t>
  </si>
  <si>
    <t>Warehouses</t>
  </si>
  <si>
    <t>Condo Warehouse/Industrial</t>
  </si>
  <si>
    <t>Self-Storage</t>
  </si>
  <si>
    <t>Condo Non-Business Storage</t>
  </si>
  <si>
    <t>Garages</t>
  </si>
  <si>
    <t>Condo Parking</t>
  </si>
  <si>
    <t>Health and Education</t>
  </si>
  <si>
    <t>Theaters</t>
  </si>
  <si>
    <t>Culture and Recreation</t>
  </si>
  <si>
    <t>Condo Cultural/Medical/Education</t>
  </si>
  <si>
    <t>Hotels</t>
  </si>
  <si>
    <t>Condo Hotels</t>
  </si>
  <si>
    <t>Condo Terraces/Gardens/Cabanas</t>
  </si>
  <si>
    <t>Condos - Other Commercial</t>
  </si>
  <si>
    <t>Utility Property</t>
  </si>
  <si>
    <t>MANHATTAN</t>
  </si>
  <si>
    <t>TOTAL</t>
  </si>
  <si>
    <t>BRONX</t>
  </si>
  <si>
    <t>BROOKLYN</t>
  </si>
  <si>
    <t>QUEENS</t>
  </si>
  <si>
    <t>STATEN ISLAND</t>
  </si>
  <si>
    <t>TAX DOLLAR VALUE OF</t>
  </si>
  <si>
    <t>REAL PROPERTY TAX EXEMPTIONS*</t>
  </si>
  <si>
    <t>by PROPERTY TYPE</t>
  </si>
  <si>
    <t>Partially Exempt</t>
  </si>
  <si>
    <t>Total Exempt</t>
  </si>
  <si>
    <t># Parcels</t>
  </si>
  <si>
    <t>4-10 Fam Rentals</t>
  </si>
  <si>
    <t>2-10 Fam Co-ops</t>
  </si>
  <si>
    <t>2-10 Fam Condos</t>
  </si>
  <si>
    <t>2-10 Fam Condops</t>
  </si>
  <si>
    <t>Commercial Condos</t>
  </si>
  <si>
    <t>Health&amp;Educational</t>
  </si>
  <si>
    <t>Cultural&amp;Rec</t>
  </si>
  <si>
    <t>"TAX DOLLAR VALUE" OF</t>
  </si>
  <si>
    <t>by EXEMPTION TYPE</t>
  </si>
  <si>
    <t>EXEMPTIONS</t>
  </si>
  <si>
    <t>TAX DOLLAR VALUE</t>
  </si>
  <si>
    <t>Amount</t>
  </si>
  <si>
    <t>EXEMPTION TYPE</t>
  </si>
  <si>
    <t>Number</t>
  </si>
  <si>
    <t>($ millions)</t>
  </si>
  <si>
    <t>CITYWIDE TOTAL</t>
  </si>
  <si>
    <t>PRIVATE PROPERTY</t>
  </si>
  <si>
    <t>PUBLIC PROPERTY</t>
  </si>
  <si>
    <t>INSTITUTIONAL</t>
  </si>
  <si>
    <t>GOVERNMENT</t>
  </si>
  <si>
    <t>Cemeteries</t>
  </si>
  <si>
    <t>New York City</t>
  </si>
  <si>
    <t>Charitable</t>
  </si>
  <si>
    <t>New York State</t>
  </si>
  <si>
    <t>Cultural Institutions</t>
  </si>
  <si>
    <t>U.S. Government</t>
  </si>
  <si>
    <t>Educational Facilities</t>
  </si>
  <si>
    <t>Foreign Governments</t>
  </si>
  <si>
    <t>Medical Care</t>
  </si>
  <si>
    <t>Religious</t>
  </si>
  <si>
    <t>PUBLIC AUTHORITIES</t>
  </si>
  <si>
    <t>Special Interest</t>
  </si>
  <si>
    <t>Battery Park City Authority</t>
  </si>
  <si>
    <t>Economic Development Corporation</t>
  </si>
  <si>
    <t>RESIDENTIAL</t>
  </si>
  <si>
    <t>Industrial Development Agency</t>
  </si>
  <si>
    <t>Fallout Shelters</t>
  </si>
  <si>
    <t>Metropolitan Transportation Authority</t>
  </si>
  <si>
    <t>Housing Development Fund Companies</t>
  </si>
  <si>
    <t>Nat'l Passenger Rail Corp.- AMTRAK</t>
  </si>
  <si>
    <t>HPD Div. of Alternative Management(DAMP)</t>
  </si>
  <si>
    <t>NYC Educational Construction Fund</t>
  </si>
  <si>
    <t>J-51 Exemption</t>
  </si>
  <si>
    <t>NYC Housing Authority</t>
  </si>
  <si>
    <t>Limited-Dividend Housing Companies</t>
  </si>
  <si>
    <t>NYS Dormitory Authority</t>
  </si>
  <si>
    <t>Ltd-Profit Housing Companies/Mitchell-Lama</t>
  </si>
  <si>
    <t>NYS Urban Development Corporation</t>
  </si>
  <si>
    <t>New Multiple Dwellings - 421A</t>
  </si>
  <si>
    <t>Port Authority of NY &amp; NJ</t>
  </si>
  <si>
    <t>New Private Homes - 421B</t>
  </si>
  <si>
    <t>New York Power Authority</t>
  </si>
  <si>
    <t>Redevelopment Companies</t>
  </si>
  <si>
    <t>Residential Conv. Lower Manhattan</t>
  </si>
  <si>
    <t>Solar, Wind or Farm Waste Energy System</t>
  </si>
  <si>
    <t>Special Incentive Programs</t>
  </si>
  <si>
    <t>State-Assisted Private Housing</t>
  </si>
  <si>
    <t>Urban Development Action Area Projects</t>
  </si>
  <si>
    <t>420-c Low-Income Housing</t>
  </si>
  <si>
    <t>COMMERCIAL/INDUSTRIAL</t>
  </si>
  <si>
    <t>Environmental Protection Exemption</t>
  </si>
  <si>
    <t>Industrial &amp; Commercial Incentive Board</t>
  </si>
  <si>
    <t>Industrial &amp; Commercial Incentive Program</t>
  </si>
  <si>
    <t>Industrial Waste Facility</t>
  </si>
  <si>
    <t>Jamaica Water Supply</t>
  </si>
  <si>
    <t>Madison Square Garden</t>
  </si>
  <si>
    <t>Mixed-Use Lower Manhattan</t>
  </si>
  <si>
    <t>INDIVIDUAL ASSISTANCE</t>
  </si>
  <si>
    <t>Physically Disabled Crime Victims</t>
  </si>
  <si>
    <t>Low-Income Disabled Homeowner</t>
  </si>
  <si>
    <t>School Tax Relief</t>
  </si>
  <si>
    <t>Senior Citizen Homeowner</t>
  </si>
  <si>
    <t>Veterans Exemption</t>
  </si>
  <si>
    <t>BOROUGH TOTAL</t>
  </si>
  <si>
    <t>Government</t>
  </si>
  <si>
    <t>Public Authorities</t>
  </si>
  <si>
    <t>Individual Assistance</t>
  </si>
  <si>
    <t>Institutional</t>
  </si>
  <si>
    <t>Commercial/Industrial</t>
  </si>
  <si>
    <t xml:space="preserve">Includes impact of STAR Cap </t>
  </si>
  <si>
    <t>need units</t>
  </si>
  <si>
    <t>Reconciliation of the Assessment Roll, Tax Levy and Net Levy Billed</t>
  </si>
  <si>
    <t>By Property Type</t>
  </si>
  <si>
    <t>Assessed Value ($ millions)</t>
  </si>
  <si>
    <t>Tax Amounts ($ millions)</t>
  </si>
  <si>
    <t>Assessment</t>
  </si>
  <si>
    <t>STAR</t>
  </si>
  <si>
    <t>Tax</t>
  </si>
  <si>
    <t>Veterans</t>
  </si>
  <si>
    <t>Billing Adjustments</t>
  </si>
  <si>
    <t>Net Levy</t>
  </si>
  <si>
    <t>Roll</t>
  </si>
  <si>
    <t>Addback</t>
  </si>
  <si>
    <t>Excl. Vets</t>
  </si>
  <si>
    <t>(Sch. Tax)</t>
  </si>
  <si>
    <t>Tax Levy</t>
  </si>
  <si>
    <t>Abatements*</t>
  </si>
  <si>
    <t>Billed</t>
  </si>
  <si>
    <t xml:space="preserve">Column </t>
  </si>
  <si>
    <t>Action</t>
  </si>
  <si>
    <t>Comment</t>
  </si>
  <si>
    <t>Assessment Roll</t>
  </si>
  <si>
    <t xml:space="preserve">  Total of all taxable billable assessed value</t>
  </si>
  <si>
    <t>add</t>
  </si>
  <si>
    <t xml:space="preserve">  Value of STAR exemption</t>
  </si>
  <si>
    <t>Levy Roll</t>
  </si>
  <si>
    <t xml:space="preserve">  Assessment roll used for tax fixing</t>
  </si>
  <si>
    <t>Tax excluding veterans</t>
  </si>
  <si>
    <t>Veterans (school tax)</t>
  </si>
  <si>
    <t xml:space="preserve">  Veterans' exemption times school tax rate</t>
  </si>
  <si>
    <t>Total Levy</t>
  </si>
  <si>
    <t xml:space="preserve">  Total property tax levy</t>
  </si>
  <si>
    <t>subtract</t>
  </si>
  <si>
    <t xml:space="preserve">  Tax value of STAR exemption added back earlier</t>
  </si>
  <si>
    <t>Abatements</t>
  </si>
  <si>
    <t xml:space="preserve">  Tax abatements that reduce liability</t>
  </si>
  <si>
    <t>Net Levy Billed</t>
  </si>
  <si>
    <t xml:space="preserve">  Amount of levy that is billed to property owners</t>
  </si>
  <si>
    <t>Totals may not add due to rounding.</t>
  </si>
  <si>
    <t>Abatement Type</t>
  </si>
  <si>
    <t>Commercial Revitalization Program</t>
  </si>
  <si>
    <t>Major Capital Improvement</t>
  </si>
  <si>
    <t>Lease</t>
  </si>
  <si>
    <t>Green</t>
  </si>
  <si>
    <t>Solar</t>
  </si>
  <si>
    <t>SCRIE/</t>
  </si>
  <si>
    <t>Conversion</t>
  </si>
  <si>
    <t>ICIP</t>
  </si>
  <si>
    <t>ICAP</t>
  </si>
  <si>
    <t>Coop/Condo</t>
  </si>
  <si>
    <t>J51</t>
  </si>
  <si>
    <t>Roof</t>
  </si>
  <si>
    <t>Panel</t>
  </si>
  <si>
    <t>DRIE</t>
  </si>
  <si>
    <t>Total</t>
  </si>
  <si>
    <t>All</t>
  </si>
  <si>
    <t>ABATEMENTS</t>
  </si>
  <si>
    <t>BY PROPERTY TYPE AND ABATEMENT TYPE</t>
  </si>
  <si>
    <t>FY17</t>
  </si>
  <si>
    <t>OFFICE BUILDING PROFILE</t>
  </si>
  <si>
    <t>BY BOROUGH</t>
  </si>
  <si>
    <t>($ MILLIONS)</t>
  </si>
  <si>
    <t>Staten Is.</t>
  </si>
  <si>
    <t>All Parcels</t>
  </si>
  <si>
    <t>Number of Parcels</t>
  </si>
  <si>
    <t>Sq. Ft. (000)</t>
  </si>
  <si>
    <t>Billable AV</t>
  </si>
  <si>
    <t>Exempt AV</t>
  </si>
  <si>
    <t>Partially Taxable</t>
  </si>
  <si>
    <t>Sq. Ft.</t>
  </si>
  <si>
    <t>FMV</t>
  </si>
  <si>
    <t>Exempt</t>
  </si>
  <si>
    <t>(000)</t>
  </si>
  <si>
    <t>Financial/WTC</t>
  </si>
  <si>
    <t>Insurance/Civic Ctr</t>
  </si>
  <si>
    <t>Midtown South</t>
  </si>
  <si>
    <t>Midtown West</t>
  </si>
  <si>
    <t>Grand Central</t>
  </si>
  <si>
    <t>Plaza</t>
  </si>
  <si>
    <t>Downtown</t>
  </si>
  <si>
    <t>FOR SELECTED AREAS</t>
  </si>
  <si>
    <t>SELECTED AREAS by OFFICE CLASS</t>
  </si>
  <si>
    <t>Class A Buildings</t>
  </si>
  <si>
    <t>Class B Buildings</t>
  </si>
  <si>
    <t>Other Buildings</t>
  </si>
  <si>
    <t>.</t>
  </si>
  <si>
    <t>MARKET AND ASSESSED VALUES FOR SELECTED AREAS BY OFFICE CLASS</t>
  </si>
  <si>
    <t>HOME SALES</t>
  </si>
  <si>
    <t>MOST RECENT FOUR QUARTERS</t>
  </si>
  <si>
    <t>1Q 2016</t>
  </si>
  <si>
    <t>2Q 2016</t>
  </si>
  <si>
    <t>3Q 2016</t>
  </si>
  <si>
    <t>4Q 2016</t>
  </si>
  <si>
    <t>One-family</t>
  </si>
  <si>
    <t>Number of Sales</t>
  </si>
  <si>
    <t>Median Price</t>
  </si>
  <si>
    <t>Two-family</t>
  </si>
  <si>
    <t>Three-family</t>
  </si>
  <si>
    <t>SINGLE-FAMILY HOME SALES TRANSACTIONS AND PRICES</t>
  </si>
  <si>
    <t>Sales Transactions</t>
  </si>
  <si>
    <t>Year</t>
  </si>
  <si>
    <t xml:space="preserve">CITYWIDE HOME SALES </t>
  </si>
  <si>
    <t>BY TYPE OF PROPERTY</t>
  </si>
  <si>
    <t>One-Family</t>
  </si>
  <si>
    <t>Two-Family</t>
  </si>
  <si>
    <t>Three-Family</t>
  </si>
  <si>
    <t>Year/Year</t>
  </si>
  <si>
    <t>of Sales</t>
  </si>
  <si>
    <t>Change</t>
  </si>
  <si>
    <t>Median</t>
  </si>
  <si>
    <t>Price</t>
  </si>
  <si>
    <t>COOPERATIVE AND CONDOMINIUM ABATEMENT PROGRAM</t>
  </si>
  <si>
    <t>Abatement</t>
  </si>
  <si>
    <t>Develop-</t>
  </si>
  <si>
    <t>Level</t>
  </si>
  <si>
    <t>ments</t>
  </si>
  <si>
    <t>Units</t>
  </si>
  <si>
    <t>28.1%</t>
  </si>
  <si>
    <t>25.2%</t>
  </si>
  <si>
    <t>22.5%</t>
  </si>
  <si>
    <t>17.5%</t>
  </si>
  <si>
    <t>All Apartments</t>
  </si>
  <si>
    <t>GRAND TOTAL</t>
  </si>
  <si>
    <t>TAX DELINQUENCY COMPARISON</t>
  </si>
  <si>
    <t>BY FISCAL YEAR</t>
  </si>
  <si>
    <t>Delinquency</t>
  </si>
  <si>
    <t>Delinquency Rate</t>
  </si>
  <si>
    <t>Number of Parcels**</t>
  </si>
  <si>
    <t>(Percent of Tax Levy)</t>
  </si>
  <si>
    <t>(Percent of Final Levy Billed)***</t>
  </si>
  <si>
    <t>Quarter</t>
  </si>
  <si>
    <t>FY2016</t>
  </si>
  <si>
    <t>FY2015</t>
  </si>
  <si>
    <t xml:space="preserve">FY 2014 </t>
  </si>
  <si>
    <t xml:space="preserve">FY2015 </t>
  </si>
  <si>
    <t xml:space="preserve">First Quarter </t>
  </si>
  <si>
    <t xml:space="preserve">Second Quarter </t>
  </si>
  <si>
    <t xml:space="preserve">Third Quarter </t>
  </si>
  <si>
    <t>Fourth Quarter</t>
  </si>
  <si>
    <r>
      <t>Delinquency Rate</t>
    </r>
    <r>
      <rPr>
        <b/>
        <vertAlign val="superscript"/>
        <sz val="11"/>
        <rFont val="Arial"/>
        <family val="2"/>
      </rPr>
      <t>1</t>
    </r>
  </si>
  <si>
    <r>
      <t>Adjusted Delinquency Rate</t>
    </r>
    <r>
      <rPr>
        <b/>
        <vertAlign val="superscript"/>
        <sz val="11"/>
        <rFont val="Arial"/>
        <family val="2"/>
      </rPr>
      <t>2</t>
    </r>
  </si>
  <si>
    <t>Tax Class</t>
  </si>
  <si>
    <t>Class One</t>
  </si>
  <si>
    <t>Class Two</t>
  </si>
  <si>
    <t>Class Three</t>
  </si>
  <si>
    <t>Class Four</t>
  </si>
  <si>
    <t>Unidentified****</t>
  </si>
  <si>
    <t>Borough</t>
  </si>
  <si>
    <t>n/a</t>
  </si>
  <si>
    <r>
      <rPr>
        <b/>
        <sz val="11"/>
        <rFont val="Arial"/>
        <family val="2"/>
      </rPr>
      <t xml:space="preserve">*  </t>
    </r>
    <r>
      <rPr>
        <sz val="11"/>
        <rFont val="Arial"/>
        <family val="2"/>
      </rPr>
      <t xml:space="preserve">    Delinquency is for each year's tax levy and does not include prior-year delinquencies. </t>
    </r>
  </si>
  <si>
    <r>
      <rPr>
        <b/>
        <sz val="11"/>
        <rFont val="Arial"/>
        <family val="2"/>
      </rPr>
      <t xml:space="preserve">**   </t>
    </r>
    <r>
      <rPr>
        <sz val="11"/>
        <rFont val="Arial"/>
        <family val="2"/>
      </rPr>
      <t xml:space="preserve">  Parcels delinquent on their tax bill in each quarter; a parcel may be delinquent for multiple quarters.</t>
    </r>
  </si>
  <si>
    <t>***   Final Levy Billed equals Tax Levy minus Abatements and Cancellations (Tax Commission reductions, court orders and settlements,</t>
  </si>
  <si>
    <t xml:space="preserve">       Department of Finance adjustments and rebilling adjustments).</t>
  </si>
  <si>
    <t xml:space="preserve">**** For these properties the tax class is not identified on the database used to generate the delinquency report. </t>
  </si>
  <si>
    <t>CITYWIDE REAL PROPERTY TAX DELINQUENCIES</t>
  </si>
  <si>
    <t>FOR SELECTED PROPERTY TYPES</t>
  </si>
  <si>
    <t>FY2016 as of 6/30/2016</t>
  </si>
  <si>
    <t>FY2015 as of 6/30/2015</t>
  </si>
  <si>
    <t>Rate</t>
  </si>
  <si>
    <t>(% of Tax Levy)</t>
  </si>
  <si>
    <t>Res. Multi Use</t>
  </si>
  <si>
    <t>Walk-ups</t>
  </si>
  <si>
    <t>Elevator</t>
  </si>
  <si>
    <t>Comm'l Condos</t>
  </si>
  <si>
    <t>Hospitals &amp; Health</t>
  </si>
  <si>
    <t>Educational</t>
  </si>
  <si>
    <t>MARKET VALUES* BY TAX CLASS AND BY BOROUGH</t>
  </si>
  <si>
    <t>FY 1998 - 2017</t>
  </si>
  <si>
    <t>Fiscal</t>
  </si>
  <si>
    <t>BOROUGH</t>
  </si>
  <si>
    <t xml:space="preserve">* Market values represent values for fully and partially taxable properties only. </t>
  </si>
  <si>
    <t>ACTUAL AND BILLABLE ASSESSED VALUE BY TAX CLASS</t>
  </si>
  <si>
    <t>($ Millions)</t>
  </si>
  <si>
    <t>TAXABLE ACTUAL ASSESSED VALUE</t>
  </si>
  <si>
    <t>Fiscal Year</t>
  </si>
  <si>
    <t xml:space="preserve">    Total</t>
  </si>
  <si>
    <t>TAXABLE BILLABLE ASSESSED VALUE</t>
  </si>
  <si>
    <t>NOTE:  Totals may not add due to rounding.</t>
  </si>
  <si>
    <t>city</t>
  </si>
  <si>
    <t>TAXABLE BILLABLE ASSESSMENTS BY BOROUGH</t>
  </si>
  <si>
    <t>TAX LEVY DISTRIBUTION BY CLASS</t>
  </si>
  <si>
    <t>CLASS SHARES</t>
  </si>
  <si>
    <t xml:space="preserve">   Total</t>
  </si>
  <si>
    <r>
      <t xml:space="preserve">CLASS LEVIES </t>
    </r>
    <r>
      <rPr>
        <sz val="8"/>
        <rFont val="Arial"/>
        <family val="2"/>
      </rPr>
      <t>($ MILLIONS)</t>
    </r>
  </si>
  <si>
    <t>REAL PROPERTY AND SCHOOL TAX RATES</t>
  </si>
  <si>
    <t>(PER $100 OF ASSESSED VALUE)</t>
  </si>
  <si>
    <t>FY 1998 - FY 2017</t>
  </si>
  <si>
    <t>REAL PROPERTY TAX RATES</t>
  </si>
  <si>
    <t>1998</t>
  </si>
  <si>
    <t>1999</t>
  </si>
  <si>
    <t>2003 1st half</t>
  </si>
  <si>
    <t>2003 2nd half</t>
  </si>
  <si>
    <t>2009 1st half</t>
  </si>
  <si>
    <t>2009 2nd half</t>
  </si>
  <si>
    <t>Note:  Citywide tax rates are weighted averages shown for comparative purposes only.</t>
  </si>
  <si>
    <t>SCHOOL TAX RATES</t>
  </si>
  <si>
    <t>-</t>
  </si>
  <si>
    <t>2000</t>
  </si>
  <si>
    <t>2001</t>
  </si>
  <si>
    <t>REAL PROPERTY TAX LEVY AND REVENUE</t>
  </si>
  <si>
    <t xml:space="preserve">  Revenue as</t>
  </si>
  <si>
    <t xml:space="preserve">  a Percent</t>
  </si>
  <si>
    <t>Revenue</t>
  </si>
  <si>
    <t xml:space="preserve">  of Levy </t>
  </si>
  <si>
    <t>*</t>
  </si>
  <si>
    <t xml:space="preserve">  *Based on January 2017 Financial Plan</t>
  </si>
  <si>
    <t>DETERMINATION OF THE UNUSED OPERATING MARGIN</t>
  </si>
  <si>
    <t>FY 1998- 2017</t>
  </si>
  <si>
    <t>Calculation of Expenses subject to Operating Limit</t>
  </si>
  <si>
    <t>Calculation of Operating Limit</t>
  </si>
  <si>
    <t xml:space="preserve">Expenses </t>
  </si>
  <si>
    <t xml:space="preserve">2.5% of </t>
  </si>
  <si>
    <t xml:space="preserve">Subject to </t>
  </si>
  <si>
    <t xml:space="preserve">Five-year </t>
  </si>
  <si>
    <t>Debt</t>
  </si>
  <si>
    <t>Operating</t>
  </si>
  <si>
    <t xml:space="preserve">Tax </t>
  </si>
  <si>
    <t xml:space="preserve">Operating </t>
  </si>
  <si>
    <t>Avg. Market</t>
  </si>
  <si>
    <t>BID</t>
  </si>
  <si>
    <t xml:space="preserve"> Operating </t>
  </si>
  <si>
    <t>Unused</t>
  </si>
  <si>
    <t xml:space="preserve">Levy </t>
  </si>
  <si>
    <t xml:space="preserve">Service </t>
  </si>
  <si>
    <t>Limit</t>
  </si>
  <si>
    <t>Value*</t>
  </si>
  <si>
    <t>Charges**</t>
  </si>
  <si>
    <t>Operating Margin</t>
  </si>
  <si>
    <t xml:space="preserve">OMB </t>
  </si>
  <si>
    <t>NO DIFFERENCE IF WE FOLLOW OMB'S METHOD</t>
  </si>
  <si>
    <t>(1)</t>
  </si>
  <si>
    <t>(2)</t>
  </si>
  <si>
    <t>(3) =(1)-(2)</t>
  </si>
  <si>
    <t>(4)</t>
  </si>
  <si>
    <t>(5)=(3)-(4)</t>
  </si>
  <si>
    <t>(6)</t>
  </si>
  <si>
    <t>(7)</t>
  </si>
  <si>
    <t>(8)=(6)-(7)</t>
  </si>
  <si>
    <t>(9)=(8)-(5)</t>
  </si>
  <si>
    <t>(10)=(9/8)</t>
  </si>
  <si>
    <t>ABATEMENTS*</t>
  </si>
  <si>
    <t>Unused Cap.</t>
  </si>
  <si>
    <t>OMB subtracts Short Term DS from both sides</t>
  </si>
  <si>
    <t>???</t>
  </si>
  <si>
    <t>Starting with Nov TFR for FY14</t>
  </si>
  <si>
    <t xml:space="preserve">OMB/CC includes </t>
  </si>
  <si>
    <t>Need Backup for 07 and 08</t>
  </si>
  <si>
    <t>list of ABTs/reserve items.</t>
  </si>
  <si>
    <t>RESERVE ITEMS</t>
  </si>
  <si>
    <t>x</t>
  </si>
  <si>
    <t>OMB is sending</t>
  </si>
  <si>
    <t>n.a.</t>
  </si>
  <si>
    <t>x=checked vs OMB Backup or Exhibit B of TFR after FY13</t>
  </si>
  <si>
    <t>(from adopted budget)</t>
  </si>
  <si>
    <t>FY05</t>
  </si>
  <si>
    <t>FY06</t>
  </si>
  <si>
    <t>FY07</t>
  </si>
  <si>
    <t>FY08</t>
  </si>
  <si>
    <t>FY09</t>
  </si>
  <si>
    <t>FY10</t>
  </si>
  <si>
    <t>FY11</t>
  </si>
  <si>
    <t>FY12</t>
  </si>
  <si>
    <t>FY13</t>
  </si>
  <si>
    <t>FY14</t>
  </si>
  <si>
    <t>FY15</t>
  </si>
  <si>
    <t>FY16</t>
  </si>
  <si>
    <t>MID-YEAR TAX INCREASE</t>
  </si>
  <si>
    <t>SCRIE</t>
  </si>
  <si>
    <t>J-51</t>
  </si>
  <si>
    <t>CRP (and boro dev)</t>
  </si>
  <si>
    <t>Solar/Green abate</t>
  </si>
  <si>
    <t>SANDY ABATEMENT</t>
  </si>
  <si>
    <t>SANDY???</t>
  </si>
  <si>
    <t>ICIP Abate</t>
  </si>
  <si>
    <t>Section 626</t>
  </si>
  <si>
    <t>Discounts (not incl)</t>
  </si>
  <si>
    <t>*FROM</t>
  </si>
  <si>
    <t>Rebate</t>
  </si>
  <si>
    <t xml:space="preserve">VARIOUS </t>
  </si>
  <si>
    <r>
      <t>NOTE</t>
    </r>
    <r>
      <rPr>
        <sz val="11"/>
        <rFont val="Arial"/>
        <family val="2"/>
      </rPr>
      <t>:   Beginning in FY 2005, the unused margin includes an adjustment for abatements.</t>
    </r>
  </si>
  <si>
    <t>YEARS UP</t>
  </si>
  <si>
    <t>Ex Prop Res</t>
  </si>
  <si>
    <t>FOR FY14 (NOV)-</t>
  </si>
  <si>
    <t>TOTAL RESERVE</t>
  </si>
  <si>
    <t>*    Computed by taking 2.5% of NYS ORPTS full market valuations for the last completed assessment roll and the four preceding</t>
  </si>
  <si>
    <t xml:space="preserve">TFR </t>
  </si>
  <si>
    <t xml:space="preserve">NOT TAKE </t>
  </si>
  <si>
    <t xml:space="preserve">     assessment rolls.</t>
  </si>
  <si>
    <t xml:space="preserve">**  Business Improvement District (BID) charges are self-imposed assessments within each district and subject to the </t>
  </si>
  <si>
    <t>EXHIBIT</t>
  </si>
  <si>
    <t>OUT SANDY</t>
  </si>
  <si>
    <t xml:space="preserve">     constitutional 2.5 percent limit for operating purposes. </t>
  </si>
  <si>
    <t>B</t>
  </si>
  <si>
    <t>ABT</t>
  </si>
  <si>
    <t>Table 23</t>
  </si>
  <si>
    <t>CLASS SHARE ADJUSTMENT CAP</t>
  </si>
  <si>
    <t>FY 1993 - 2017*</t>
  </si>
  <si>
    <t>Cap</t>
  </si>
  <si>
    <t>*Article 18 of Real Property Tax Law requires that the adjusted base proportions of the four real property tax classes in the City (which determine the share of the total tax levy payable by each class) be revised each year to reflect relative changes in market values, subject to a five-percent cap on the increase in any class’s share of the levy.  In some years, special State legislation has resulted in a class share cap that is lower than the five-percent default cap.</t>
  </si>
  <si>
    <t>FOR FISCAL YEARS 2016, 2015 AND 2014 AS OF JUNE 30*</t>
  </si>
  <si>
    <t xml:space="preserve">  Levy roll times overall average tax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</si>
</sst>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5" formatCode="&quot;$&quot;#,##0_);\(&quot;$&quot;#,##0\)"/>
    <numFmt numFmtId="6" formatCode="&quot;$&quot;#,##0_);[Red]\(&quot;$&quot;#,##0\)"/>
    <numFmt numFmtId="7" formatCode="&quot;$&quot;#,##0.00_);\(&quot;$&quot;#,##0.00\)"/>
    <numFmt numFmtId="41" formatCode="_(* #,##0_);_(* \(#,##0\);_(* &quot;-&quot;_);_(@_)"/>
    <numFmt numFmtId="44" formatCode="_(&quot;$&quot;* #,##0.00_);_(&quot;$&quot;* \(#,##0.00\);_(&quot;$&quot;* &quot;-&quot;??_);_(@_)"/>
    <numFmt numFmtId="43" formatCode="_(* #,##0.00_);_(* \(#,##0.00\);_(* &quot;-&quot;??_);_(@_)"/>
    <numFmt numFmtId="164" formatCode="0.0%"/>
    <numFmt numFmtId="165" formatCode="&quot;$&quot;#,##0.0_);\(&quot;$&quot;#,##0.0\)"/>
    <numFmt numFmtId="166" formatCode="&quot;$&quot;#,##0.0"/>
    <numFmt numFmtId="167" formatCode=";;;"/>
    <numFmt numFmtId="168" formatCode="#,##0.0,,"/>
    <numFmt numFmtId="169" formatCode="_(* #,##0_);_(* \(#,##0\);_(* &quot;-&quot;??_);_(@_)"/>
    <numFmt numFmtId="170" formatCode="#,##0.0_);\(#,##0.0\)"/>
    <numFmt numFmtId="171" formatCode="0.000_)"/>
    <numFmt numFmtId="172" formatCode="#,###.0,,"/>
    <numFmt numFmtId="173" formatCode="0.000000%"/>
    <numFmt numFmtId="174" formatCode="_(* #,##0.0_);_(* \(#,##0.0\);_(* &quot;-&quot;??_);_(@_)"/>
    <numFmt numFmtId="175" formatCode="&quot;$&quot;#,##0"/>
    <numFmt numFmtId="176" formatCode="#,##0.0000"/>
    <numFmt numFmtId="177" formatCode="#,##0.0,"/>
    <numFmt numFmtId="178" formatCode="&quot;$&quot;#,##0.0,,"/>
    <numFmt numFmtId="179" formatCode="_(&quot;$&quot;* #,##0_);_(&quot;$&quot;* \(#,##0\);_(&quot;$&quot;* &quot;-&quot;??_);_(@_)"/>
    <numFmt numFmtId="180" formatCode="0.0000000"/>
    <numFmt numFmtId="181" formatCode="0.00_)"/>
    <numFmt numFmtId="182" formatCode="0.0_)"/>
    <numFmt numFmtId="183" formatCode="0.0000%"/>
    <numFmt numFmtId="184" formatCode="0.0"/>
    <numFmt numFmtId="185" formatCode="#,##0.0"/>
  </numFmts>
  <fonts count="62">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4"/>
      <name val="Arial"/>
      <family val="2"/>
    </font>
    <font>
      <i/>
      <sz val="10"/>
      <name val="Arial"/>
      <family val="2"/>
    </font>
    <font>
      <sz val="12"/>
      <name val="Arial"/>
      <family val="2"/>
    </font>
    <font>
      <b/>
      <sz val="10"/>
      <name val="Arial"/>
      <family val="2"/>
    </font>
    <font>
      <sz val="10"/>
      <name val="Helv"/>
    </font>
    <font>
      <i/>
      <sz val="12"/>
      <name val="Arial"/>
      <family val="2"/>
    </font>
    <font>
      <b/>
      <sz val="10"/>
      <color indexed="16"/>
      <name val="Arial"/>
      <family val="2"/>
    </font>
    <font>
      <b/>
      <sz val="12"/>
      <name val="Arial"/>
      <family val="2"/>
    </font>
    <font>
      <sz val="11"/>
      <name val="Arial"/>
      <family val="2"/>
    </font>
    <font>
      <b/>
      <sz val="11"/>
      <name val="Arial"/>
      <family val="2"/>
    </font>
    <font>
      <b/>
      <u/>
      <sz val="11"/>
      <name val="Arial"/>
      <family val="2"/>
    </font>
    <font>
      <sz val="11"/>
      <color rgb="FF000000"/>
      <name val="Arial"/>
      <family val="2"/>
    </font>
    <font>
      <b/>
      <sz val="11"/>
      <color rgb="FF000000"/>
      <name val="Arial"/>
      <family val="2"/>
    </font>
    <font>
      <b/>
      <sz val="10"/>
      <name val="Times New Roman"/>
      <family val="1"/>
    </font>
    <font>
      <sz val="10"/>
      <name val="Times New Roman"/>
      <family val="1"/>
    </font>
    <font>
      <sz val="10"/>
      <name val="MS Sans Serif"/>
      <family val="2"/>
    </font>
    <font>
      <b/>
      <sz val="10"/>
      <name val="MS Sans Serif"/>
      <family val="2"/>
    </font>
    <font>
      <sz val="9"/>
      <name val="Arial"/>
      <family val="2"/>
    </font>
    <font>
      <b/>
      <sz val="11"/>
      <color theme="1"/>
      <name val="Arial"/>
      <family val="2"/>
    </font>
    <font>
      <sz val="10"/>
      <color rgb="FF000000"/>
      <name val="Arial"/>
      <family val="2"/>
    </font>
    <font>
      <sz val="12"/>
      <name val="Times New Roman"/>
      <family val="1"/>
    </font>
    <font>
      <b/>
      <i/>
      <sz val="11"/>
      <name val="Arial"/>
      <family val="2"/>
    </font>
    <font>
      <sz val="11"/>
      <name val="Times New Roman"/>
      <family val="1"/>
    </font>
    <font>
      <b/>
      <sz val="12"/>
      <name val="Times New Roman"/>
      <family val="1"/>
    </font>
    <font>
      <sz val="11"/>
      <name val="Arial (W1)"/>
      <family val="2"/>
    </font>
    <font>
      <b/>
      <sz val="12"/>
      <color rgb="FF000000"/>
      <name val="Arial"/>
      <family val="2"/>
    </font>
    <font>
      <b/>
      <sz val="12"/>
      <color theme="1"/>
      <name val="Arial"/>
      <family val="2"/>
    </font>
    <font>
      <b/>
      <sz val="10"/>
      <color rgb="FF000000"/>
      <name val="Arial"/>
      <family val="2"/>
    </font>
    <font>
      <b/>
      <sz val="10"/>
      <color theme="1"/>
      <name val="Arial"/>
      <family val="2"/>
    </font>
    <font>
      <b/>
      <sz val="10"/>
      <color rgb="FF000000"/>
      <name val="Arial Narrow"/>
      <family val="2"/>
    </font>
    <font>
      <sz val="11"/>
      <color rgb="FF000000"/>
      <name val="Arial Narrow"/>
      <family val="2"/>
    </font>
    <font>
      <i/>
      <sz val="11"/>
      <color rgb="FF000000"/>
      <name val="Arial"/>
      <family val="2"/>
    </font>
    <font>
      <b/>
      <sz val="16"/>
      <name val="Arial"/>
      <family val="2"/>
    </font>
    <font>
      <sz val="14"/>
      <name val="Arial"/>
      <family val="2"/>
    </font>
    <font>
      <b/>
      <i/>
      <sz val="9"/>
      <name val="Arial"/>
      <family val="2"/>
    </font>
    <font>
      <b/>
      <i/>
      <sz val="10"/>
      <name val="Arial"/>
      <family val="2"/>
    </font>
    <font>
      <b/>
      <vertAlign val="superscript"/>
      <sz val="11"/>
      <name val="Arial"/>
      <family val="2"/>
    </font>
    <font>
      <sz val="12"/>
      <name val="Tms Rmn"/>
    </font>
    <font>
      <sz val="9"/>
      <name val="Tms Rmn"/>
    </font>
    <font>
      <i/>
      <sz val="9"/>
      <name val="Arial"/>
      <family val="2"/>
    </font>
    <font>
      <b/>
      <sz val="14"/>
      <name val="Helv"/>
    </font>
    <font>
      <b/>
      <sz val="12"/>
      <name val="Helv"/>
    </font>
    <font>
      <b/>
      <sz val="12"/>
      <name val="Tms Rmn"/>
    </font>
    <font>
      <b/>
      <sz val="14"/>
      <name val="Tms Rmn"/>
    </font>
    <font>
      <sz val="22"/>
      <name val="Times New Roman"/>
      <family val="1"/>
    </font>
    <font>
      <sz val="10"/>
      <name val="Tms Rmn"/>
    </font>
    <font>
      <b/>
      <sz val="11"/>
      <color indexed="16"/>
      <name val="Arial"/>
      <family val="2"/>
    </font>
    <font>
      <sz val="8"/>
      <name val="Arial"/>
      <family val="2"/>
    </font>
    <font>
      <sz val="11"/>
      <color indexed="62"/>
      <name val="Calibri"/>
      <family val="2"/>
    </font>
    <font>
      <b/>
      <u/>
      <sz val="10"/>
      <name val="Helv"/>
    </font>
    <font>
      <b/>
      <sz val="12"/>
      <name val="Calibri"/>
      <family val="2"/>
    </font>
    <font>
      <b/>
      <sz val="14"/>
      <color theme="1"/>
      <name val="Calibri"/>
      <family val="2"/>
      <scheme val="minor"/>
    </font>
    <font>
      <b/>
      <sz val="10"/>
      <name val="Helv"/>
    </font>
    <font>
      <sz val="11"/>
      <name val="Calibri"/>
      <family val="2"/>
    </font>
    <font>
      <b/>
      <sz val="11"/>
      <name val="Calibri"/>
      <family val="2"/>
      <scheme val="minor"/>
    </font>
    <font>
      <sz val="9"/>
      <color theme="1"/>
      <name val="Arial"/>
      <family val="2"/>
    </font>
    <font>
      <i/>
      <sz val="10"/>
      <color theme="1"/>
      <name val="Calibri"/>
      <family val="2"/>
      <scheme val="minor"/>
    </font>
    <font>
      <sz val="11"/>
      <color theme="1"/>
      <name val="Arial"/>
      <family val="2"/>
    </font>
  </fonts>
  <fills count="8">
    <fill>
      <patternFill patternType="none"/>
    </fill>
    <fill>
      <patternFill patternType="gray125"/>
    </fill>
    <fill>
      <patternFill patternType="solid">
        <fgColor rgb="FFE1F4FF"/>
        <bgColor indexed="12"/>
      </patternFill>
    </fill>
    <fill>
      <patternFill patternType="solid">
        <fgColor rgb="FFE1F4FF"/>
        <bgColor indexed="64"/>
      </patternFill>
    </fill>
    <fill>
      <patternFill patternType="solid">
        <fgColor indexed="65"/>
        <bgColor indexed="8"/>
      </patternFill>
    </fill>
    <fill>
      <patternFill patternType="solid">
        <fgColor theme="0"/>
        <bgColor indexed="64"/>
      </patternFill>
    </fill>
    <fill>
      <patternFill patternType="solid">
        <fgColor indexed="22"/>
        <bgColor indexed="64"/>
      </patternFill>
    </fill>
    <fill>
      <patternFill patternType="solid">
        <fgColor rgb="FFFFFF00"/>
        <bgColor indexed="64"/>
      </patternFill>
    </fill>
  </fills>
  <borders count="127">
    <border>
      <left/>
      <right/>
      <top/>
      <bottom/>
      <diagonal/>
    </border>
    <border>
      <left style="double">
        <color indexed="8"/>
      </left>
      <right/>
      <top style="double">
        <color indexed="8"/>
      </top>
      <bottom/>
      <diagonal/>
    </border>
    <border>
      <left/>
      <right/>
      <top style="double">
        <color indexed="8"/>
      </top>
      <bottom/>
      <diagonal/>
    </border>
    <border>
      <left/>
      <right style="double">
        <color indexed="8"/>
      </right>
      <top style="double">
        <color indexed="8"/>
      </top>
      <bottom/>
      <diagonal/>
    </border>
    <border>
      <left style="double">
        <color indexed="8"/>
      </left>
      <right/>
      <top/>
      <bottom/>
      <diagonal/>
    </border>
    <border>
      <left/>
      <right style="double">
        <color indexed="8"/>
      </right>
      <top/>
      <bottom/>
      <diagonal/>
    </border>
    <border>
      <left style="double">
        <color indexed="8"/>
      </left>
      <right/>
      <top/>
      <bottom style="double">
        <color indexed="8"/>
      </bottom>
      <diagonal/>
    </border>
    <border>
      <left/>
      <right/>
      <top/>
      <bottom style="double">
        <color indexed="64"/>
      </bottom>
      <diagonal/>
    </border>
    <border>
      <left/>
      <right/>
      <top/>
      <bottom style="thin">
        <color indexed="64"/>
      </bottom>
      <diagonal/>
    </border>
    <border>
      <left style="double">
        <color indexed="8"/>
      </left>
      <right/>
      <top/>
      <bottom style="double">
        <color indexed="64"/>
      </bottom>
      <diagonal/>
    </border>
    <border>
      <left/>
      <right style="double">
        <color indexed="8"/>
      </right>
      <top/>
      <bottom style="double">
        <color indexed="64"/>
      </bottom>
      <diagonal/>
    </border>
    <border>
      <left/>
      <right/>
      <top style="double">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rgb="FFC1C1C1"/>
      </left>
      <right/>
      <top/>
      <bottom/>
      <diagonal/>
    </border>
    <border>
      <left style="double">
        <color auto="1"/>
      </left>
      <right/>
      <top style="thin">
        <color auto="1"/>
      </top>
      <bottom/>
      <diagonal/>
    </border>
    <border>
      <left style="double">
        <color auto="1"/>
      </left>
      <right/>
      <top/>
      <bottom style="thin">
        <color auto="1"/>
      </bottom>
      <diagonal/>
    </border>
    <border>
      <left style="double">
        <color auto="1"/>
      </left>
      <right/>
      <top/>
      <bottom/>
      <diagonal/>
    </border>
    <border>
      <left style="double">
        <color indexed="64"/>
      </left>
      <right style="thin">
        <color auto="1"/>
      </right>
      <top/>
      <bottom/>
      <diagonal/>
    </border>
    <border>
      <left style="thin">
        <color auto="1"/>
      </left>
      <right style="double">
        <color auto="1"/>
      </right>
      <top style="thin">
        <color auto="1"/>
      </top>
      <bottom style="thin">
        <color auto="1"/>
      </bottom>
      <diagonal/>
    </border>
    <border>
      <left style="thin">
        <color indexed="64"/>
      </left>
      <right style="medium">
        <color rgb="FF000000"/>
      </right>
      <top style="thin">
        <color rgb="FF000000"/>
      </top>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indexed="64"/>
      </left>
      <right style="medium">
        <color rgb="FF000000"/>
      </right>
      <top/>
      <bottom/>
      <diagonal/>
    </border>
    <border>
      <left style="medium">
        <color rgb="FF000000"/>
      </left>
      <right style="medium">
        <color rgb="FF000000"/>
      </right>
      <top style="thin">
        <color rgb="FF000000"/>
      </top>
      <bottom/>
      <diagonal/>
    </border>
    <border>
      <left style="medium">
        <color rgb="FF000000"/>
      </left>
      <right/>
      <top/>
      <bottom/>
      <diagonal/>
    </border>
    <border>
      <left style="medium">
        <color rgb="FF000000"/>
      </left>
      <right style="medium">
        <color rgb="FF000000"/>
      </right>
      <top/>
      <bottom/>
      <diagonal/>
    </border>
    <border>
      <left style="medium">
        <color rgb="FF000000"/>
      </left>
      <right style="medium">
        <color rgb="FF000000"/>
      </right>
      <top/>
      <bottom style="thin">
        <color rgb="FF000000"/>
      </bottom>
      <diagonal/>
    </border>
    <border>
      <left style="medium">
        <color rgb="FF000000"/>
      </left>
      <right/>
      <top/>
      <bottom style="thin">
        <color rgb="FF000000"/>
      </bottom>
      <diagonal/>
    </border>
    <border>
      <left style="thin">
        <color indexed="64"/>
      </left>
      <right style="medium">
        <color rgb="FF000000"/>
      </right>
      <top style="thin">
        <color rgb="FF000000"/>
      </top>
      <bottom style="double">
        <color indexed="64"/>
      </bottom>
      <diagonal/>
    </border>
    <border>
      <left style="medium">
        <color rgb="FF000000"/>
      </left>
      <right/>
      <top style="thin">
        <color rgb="FF000000"/>
      </top>
      <bottom style="double">
        <color indexed="64"/>
      </bottom>
      <diagonal/>
    </border>
    <border>
      <left style="medium">
        <color rgb="FF000000"/>
      </left>
      <right/>
      <top/>
      <bottom style="double">
        <color indexed="64"/>
      </bottom>
      <diagonal/>
    </border>
    <border>
      <left style="medium">
        <color rgb="FF000000"/>
      </left>
      <right style="medium">
        <color rgb="FF000000"/>
      </right>
      <top/>
      <bottom style="double">
        <color indexed="64"/>
      </bottom>
      <diagonal/>
    </border>
    <border>
      <left style="medium">
        <color rgb="FF000000"/>
      </left>
      <right/>
      <top/>
      <bottom style="thin">
        <color indexed="64"/>
      </bottom>
      <diagonal/>
    </border>
    <border>
      <left style="medium">
        <color rgb="FF000000"/>
      </left>
      <right style="medium">
        <color rgb="FF000000"/>
      </right>
      <top/>
      <bottom style="thin">
        <color indexed="64"/>
      </bottom>
      <diagonal/>
    </border>
    <border>
      <left style="medium">
        <color rgb="FF000000"/>
      </left>
      <right/>
      <top style="thin">
        <color rgb="FF000000"/>
      </top>
      <bottom/>
      <diagonal/>
    </border>
    <border>
      <left/>
      <right style="medium">
        <color rgb="FF000000"/>
      </right>
      <top style="thin">
        <color rgb="FF000000"/>
      </top>
      <bottom/>
      <diagonal/>
    </border>
    <border>
      <left style="medium">
        <color rgb="FF000000"/>
      </left>
      <right style="medium">
        <color rgb="FF000000"/>
      </right>
      <top style="thin">
        <color indexed="64"/>
      </top>
      <bottom/>
      <diagonal/>
    </border>
    <border>
      <left style="thin">
        <color indexed="64"/>
      </left>
      <right style="medium">
        <color rgb="FF000000"/>
      </right>
      <top/>
      <bottom style="thin">
        <color rgb="FF000000"/>
      </bottom>
      <diagonal/>
    </border>
    <border>
      <left/>
      <right style="medium">
        <color rgb="FF000000"/>
      </right>
      <top/>
      <bottom/>
      <diagonal/>
    </border>
    <border>
      <left style="medium">
        <color rgb="FFC1C1C1"/>
      </left>
      <right/>
      <top style="thin">
        <color rgb="FF000000"/>
      </top>
      <bottom/>
      <diagonal/>
    </border>
    <border>
      <left/>
      <right/>
      <top style="thin">
        <color rgb="FF000000"/>
      </top>
      <bottom/>
      <diagonal/>
    </border>
    <border>
      <left style="medium">
        <color rgb="FF000000"/>
      </left>
      <right style="medium">
        <color rgb="FF000000"/>
      </right>
      <top style="double">
        <color indexed="64"/>
      </top>
      <bottom/>
      <diagonal/>
    </border>
    <border>
      <left style="thin">
        <color indexed="64"/>
      </left>
      <right style="thin">
        <color indexed="64"/>
      </right>
      <top style="thin">
        <color indexed="8"/>
      </top>
      <bottom/>
      <diagonal/>
    </border>
    <border>
      <left/>
      <right/>
      <top style="thin">
        <color indexed="8"/>
      </top>
      <bottom/>
      <diagonal/>
    </border>
    <border>
      <left/>
      <right style="thin">
        <color indexed="64"/>
      </right>
      <top style="thin">
        <color indexed="8"/>
      </top>
      <bottom/>
      <diagonal/>
    </border>
    <border>
      <left style="thin">
        <color indexed="64"/>
      </left>
      <right/>
      <top style="thin">
        <color indexed="8"/>
      </top>
      <bottom style="thin">
        <color indexed="64"/>
      </bottom>
      <diagonal/>
    </border>
    <border>
      <left/>
      <right style="thin">
        <color indexed="64"/>
      </right>
      <top style="thin">
        <color indexed="8"/>
      </top>
      <bottom style="thin">
        <color indexed="64"/>
      </bottom>
      <diagonal/>
    </border>
    <border>
      <left/>
      <right/>
      <top style="thin">
        <color indexed="8"/>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left/>
      <right style="hair">
        <color indexed="64"/>
      </right>
      <top/>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right style="medium">
        <color indexed="64"/>
      </right>
      <top/>
      <bottom/>
      <diagonal/>
    </border>
    <border>
      <left style="thin">
        <color indexed="64"/>
      </left>
      <right style="double">
        <color indexed="64"/>
      </right>
      <top/>
      <bottom/>
      <diagonal/>
    </border>
    <border>
      <left style="thin">
        <color indexed="64"/>
      </left>
      <right style="medium">
        <color indexed="64"/>
      </right>
      <top/>
      <bottom/>
      <diagonal/>
    </border>
    <border>
      <left style="medium">
        <color indexed="64"/>
      </left>
      <right/>
      <top/>
      <bottom/>
      <diagonal/>
    </border>
    <border>
      <left/>
      <right style="double">
        <color indexed="64"/>
      </right>
      <top/>
      <bottom/>
      <diagonal/>
    </border>
    <border>
      <left/>
      <right style="medium">
        <color indexed="64"/>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double">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right style="double">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medium">
        <color indexed="64"/>
      </left>
      <right style="thin">
        <color indexed="64"/>
      </right>
      <top/>
      <bottom/>
      <diagonal/>
    </border>
    <border>
      <left/>
      <right style="double">
        <color indexed="64"/>
      </right>
      <top/>
      <bottom style="thin">
        <color indexed="64"/>
      </bottom>
      <diagonal/>
    </border>
    <border>
      <left style="medium">
        <color indexed="64"/>
      </left>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bottom style="thin">
        <color indexed="64"/>
      </bottom>
      <diagonal/>
    </border>
    <border>
      <left style="thin">
        <color indexed="8"/>
      </left>
      <right/>
      <top style="thin">
        <color indexed="64"/>
      </top>
      <bottom style="thin">
        <color indexed="64"/>
      </bottom>
      <diagonal/>
    </border>
    <border>
      <left style="thin">
        <color indexed="8"/>
      </left>
      <right/>
      <top/>
      <bottom style="thin">
        <color indexed="64"/>
      </bottom>
      <diagonal/>
    </border>
    <border>
      <left style="thin">
        <color indexed="8"/>
      </left>
      <right/>
      <top/>
      <bottom/>
      <diagonal/>
    </border>
    <border>
      <left style="thin">
        <color indexed="64"/>
      </left>
      <right style="thin">
        <color indexed="8"/>
      </right>
      <top/>
      <bottom/>
      <diagonal/>
    </border>
    <border>
      <left/>
      <right style="thin">
        <color indexed="8"/>
      </right>
      <top/>
      <bottom/>
      <diagonal/>
    </border>
    <border>
      <left style="thin">
        <color indexed="64"/>
      </left>
      <right style="thin">
        <color indexed="8"/>
      </right>
      <top style="thin">
        <color indexed="64"/>
      </top>
      <bottom/>
      <diagonal/>
    </border>
    <border>
      <left/>
      <right style="thin">
        <color indexed="8"/>
      </right>
      <top style="thin">
        <color indexed="64"/>
      </top>
      <bottom style="thin">
        <color indexed="64"/>
      </bottom>
      <diagonal/>
    </border>
    <border>
      <left style="thin">
        <color indexed="64"/>
      </left>
      <right style="thin">
        <color indexed="8"/>
      </right>
      <top/>
      <bottom style="thin">
        <color indexed="64"/>
      </bottom>
      <diagonal/>
    </border>
    <border>
      <left/>
      <right style="thin">
        <color indexed="8"/>
      </right>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64"/>
      </left>
      <right/>
      <top style="thin">
        <color indexed="64"/>
      </top>
      <bottom style="thin">
        <color indexed="64"/>
      </bottom>
      <diagonal/>
    </border>
    <border>
      <left style="thin">
        <color indexed="8"/>
      </left>
      <right/>
      <top style="thin">
        <color indexed="64"/>
      </top>
      <bottom/>
      <diagonal/>
    </border>
    <border>
      <left style="thin">
        <color indexed="8"/>
      </left>
      <right style="thin">
        <color indexed="64"/>
      </right>
      <top/>
      <bottom/>
      <diagonal/>
    </border>
    <border>
      <left/>
      <right style="thin">
        <color indexed="8"/>
      </right>
      <top style="thin">
        <color indexed="64"/>
      </top>
      <bottom/>
      <diagonal/>
    </border>
    <border>
      <left style="thin">
        <color auto="1"/>
      </left>
      <right style="thin">
        <color auto="1"/>
      </right>
      <top style="thin">
        <color indexed="64"/>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indexed="64"/>
      </bottom>
      <diagonal/>
    </border>
  </borders>
  <cellStyleXfs count="10">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9" fillId="0" borderId="0"/>
    <xf numFmtId="0" fontId="19" fillId="0" borderId="0"/>
    <xf numFmtId="0" fontId="1" fillId="0" borderId="0"/>
    <xf numFmtId="44" fontId="1" fillId="0" borderId="0" applyFont="0" applyFill="0" applyBorder="0" applyAlignment="0" applyProtection="0"/>
    <xf numFmtId="0" fontId="1" fillId="0" borderId="0"/>
    <xf numFmtId="0" fontId="1" fillId="0" borderId="0"/>
  </cellStyleXfs>
  <cellXfs count="1268">
    <xf numFmtId="0" fontId="0" fillId="0" borderId="0" xfId="0"/>
    <xf numFmtId="0" fontId="2" fillId="0" borderId="0" xfId="0" applyFont="1" applyAlignment="1">
      <alignment horizontal="center"/>
    </xf>
    <xf numFmtId="3" fontId="0" fillId="0" borderId="0" xfId="0" applyNumberFormat="1"/>
    <xf numFmtId="0" fontId="3" fillId="2" borderId="1" xfId="0" applyFont="1" applyFill="1" applyBorder="1"/>
    <xf numFmtId="0" fontId="3" fillId="2" borderId="2" xfId="0" applyFont="1" applyFill="1" applyBorder="1"/>
    <xf numFmtId="0" fontId="3" fillId="2" borderId="3" xfId="0" applyFont="1" applyFill="1" applyBorder="1"/>
    <xf numFmtId="0" fontId="3" fillId="2" borderId="6" xfId="0" applyFont="1" applyFill="1" applyBorder="1"/>
    <xf numFmtId="0" fontId="3" fillId="2" borderId="0" xfId="0" applyFont="1" applyFill="1"/>
    <xf numFmtId="0" fontId="3" fillId="2" borderId="7" xfId="0" applyFont="1" applyFill="1" applyBorder="1"/>
    <xf numFmtId="0" fontId="6" fillId="2" borderId="5" xfId="0" applyFont="1" applyFill="1" applyBorder="1"/>
    <xf numFmtId="0" fontId="6" fillId="0" borderId="1" xfId="0" applyFont="1" applyBorder="1"/>
    <xf numFmtId="0" fontId="6" fillId="0" borderId="2" xfId="0" applyFont="1" applyBorder="1"/>
    <xf numFmtId="0" fontId="3" fillId="0" borderId="0" xfId="0" applyFont="1"/>
    <xf numFmtId="0" fontId="6" fillId="0" borderId="3" xfId="0" applyFont="1" applyBorder="1"/>
    <xf numFmtId="0" fontId="3" fillId="0" borderId="4" xfId="0" applyFont="1" applyBorder="1"/>
    <xf numFmtId="0" fontId="3" fillId="0" borderId="0" xfId="0" applyFont="1" applyBorder="1"/>
    <xf numFmtId="0" fontId="6" fillId="0" borderId="5" xfId="0" applyFont="1" applyBorder="1"/>
    <xf numFmtId="0" fontId="7" fillId="0" borderId="4" xfId="0" applyFont="1" applyBorder="1"/>
    <xf numFmtId="0" fontId="7" fillId="0" borderId="0" xfId="0" applyFont="1"/>
    <xf numFmtId="0" fontId="7" fillId="0" borderId="0" xfId="0" applyFont="1" applyFill="1"/>
    <xf numFmtId="0" fontId="7" fillId="0" borderId="4" xfId="0" applyFont="1" applyBorder="1" applyAlignment="1" applyProtection="1"/>
    <xf numFmtId="0" fontId="7" fillId="0" borderId="8" xfId="0" applyFont="1" applyBorder="1" applyAlignment="1" applyProtection="1">
      <alignment horizontal="right"/>
    </xf>
    <xf numFmtId="0" fontId="7" fillId="2" borderId="8" xfId="0" applyFont="1" applyFill="1" applyBorder="1" applyAlignment="1" applyProtection="1">
      <alignment horizontal="right"/>
    </xf>
    <xf numFmtId="0" fontId="7" fillId="0" borderId="8" xfId="0" applyFont="1" applyBorder="1" applyAlignment="1" applyProtection="1">
      <alignment horizontal="center"/>
    </xf>
    <xf numFmtId="0" fontId="7" fillId="0" borderId="4" xfId="0" applyFont="1" applyBorder="1" applyAlignment="1" applyProtection="1">
      <alignment horizontal="left"/>
    </xf>
    <xf numFmtId="0" fontId="8" fillId="0" borderId="0" xfId="0" applyFont="1"/>
    <xf numFmtId="37" fontId="7" fillId="0" borderId="0" xfId="0" applyNumberFormat="1" applyFont="1" applyProtection="1"/>
    <xf numFmtId="164" fontId="7" fillId="2" borderId="0" xfId="2" applyNumberFormat="1" applyFont="1" applyFill="1" applyProtection="1"/>
    <xf numFmtId="165" fontId="7" fillId="0" borderId="0" xfId="0" applyNumberFormat="1" applyFont="1" applyFill="1" applyProtection="1"/>
    <xf numFmtId="0" fontId="9" fillId="0" borderId="5" xfId="0" applyFont="1" applyBorder="1"/>
    <xf numFmtId="0" fontId="5" fillId="0" borderId="0" xfId="0" applyFont="1"/>
    <xf numFmtId="37" fontId="3" fillId="0" borderId="0" xfId="0" applyNumberFormat="1" applyFont="1" applyFill="1" applyProtection="1"/>
    <xf numFmtId="0" fontId="3" fillId="0" borderId="4" xfId="0" applyFont="1" applyBorder="1" applyAlignment="1" applyProtection="1">
      <alignment horizontal="left"/>
    </xf>
    <xf numFmtId="166" fontId="0" fillId="0" borderId="0" xfId="0" applyNumberFormat="1"/>
    <xf numFmtId="3" fontId="0" fillId="0" borderId="0" xfId="0" applyNumberFormat="1" applyFill="1"/>
    <xf numFmtId="0" fontId="6" fillId="0" borderId="5" xfId="0" applyFont="1" applyBorder="1" applyAlignment="1" applyProtection="1">
      <alignment horizontal="left"/>
    </xf>
    <xf numFmtId="0" fontId="6" fillId="0" borderId="4" xfId="0" applyFont="1" applyBorder="1"/>
    <xf numFmtId="0" fontId="6" fillId="0" borderId="0" xfId="0" applyFont="1"/>
    <xf numFmtId="0" fontId="3" fillId="0" borderId="4" xfId="0" quotePrefix="1" applyFont="1" applyBorder="1" applyAlignment="1" applyProtection="1">
      <alignment horizontal="left"/>
    </xf>
    <xf numFmtId="167" fontId="6" fillId="0" borderId="0" xfId="0" applyNumberFormat="1" applyFont="1"/>
    <xf numFmtId="168" fontId="7" fillId="0" borderId="0" xfId="1" applyNumberFormat="1" applyFont="1" applyBorder="1" applyProtection="1"/>
    <xf numFmtId="0" fontId="7" fillId="0" borderId="8" xfId="0" applyFont="1" applyBorder="1" applyAlignment="1">
      <alignment horizontal="center"/>
    </xf>
    <xf numFmtId="0" fontId="0" fillId="3" borderId="0" xfId="0" applyFill="1"/>
    <xf numFmtId="165" fontId="7" fillId="0" borderId="0" xfId="0" applyNumberFormat="1" applyFont="1" applyProtection="1"/>
    <xf numFmtId="169" fontId="10" fillId="0" borderId="0" xfId="1" applyNumberFormat="1" applyFont="1" applyBorder="1" applyAlignment="1">
      <alignment vertical="center"/>
    </xf>
    <xf numFmtId="165" fontId="3" fillId="0" borderId="0" xfId="0" applyNumberFormat="1" applyFont="1" applyProtection="1"/>
    <xf numFmtId="164" fontId="3" fillId="2" borderId="0" xfId="2" applyNumberFormat="1" applyFont="1" applyFill="1" applyProtection="1"/>
    <xf numFmtId="10" fontId="3" fillId="2" borderId="0" xfId="2" applyNumberFormat="1" applyFont="1" applyFill="1" applyProtection="1"/>
    <xf numFmtId="170" fontId="3" fillId="0" borderId="0" xfId="0" applyNumberFormat="1" applyFont="1" applyProtection="1"/>
    <xf numFmtId="0" fontId="3" fillId="0" borderId="4" xfId="0" applyFont="1" applyFill="1" applyBorder="1" applyAlignment="1" applyProtection="1">
      <alignment horizontal="left"/>
    </xf>
    <xf numFmtId="10" fontId="3" fillId="0" borderId="0" xfId="2" applyNumberFormat="1" applyFont="1" applyFill="1" applyProtection="1"/>
    <xf numFmtId="170" fontId="3" fillId="0" borderId="0" xfId="0" applyNumberFormat="1" applyFont="1" applyFill="1" applyProtection="1"/>
    <xf numFmtId="167" fontId="3" fillId="0" borderId="4" xfId="1" applyNumberFormat="1" applyFont="1" applyBorder="1"/>
    <xf numFmtId="167" fontId="3" fillId="0" borderId="0" xfId="1" applyNumberFormat="1" applyFont="1"/>
    <xf numFmtId="167" fontId="6" fillId="0" borderId="5" xfId="1" applyNumberFormat="1" applyFont="1" applyBorder="1"/>
    <xf numFmtId="0" fontId="3" fillId="0" borderId="1" xfId="0" applyFont="1" applyBorder="1"/>
    <xf numFmtId="0" fontId="3" fillId="0" borderId="2" xfId="0" applyFont="1" applyBorder="1"/>
    <xf numFmtId="0" fontId="7" fillId="0" borderId="0" xfId="0" applyFont="1" applyAlignment="1" applyProtection="1">
      <alignment horizontal="right"/>
    </xf>
    <xf numFmtId="0" fontId="6" fillId="0" borderId="5" xfId="0" applyFont="1" applyBorder="1" applyAlignment="1">
      <alignment horizontal="centerContinuous"/>
    </xf>
    <xf numFmtId="0" fontId="0" fillId="0" borderId="4" xfId="0" applyBorder="1"/>
    <xf numFmtId="10" fontId="7" fillId="2" borderId="0" xfId="2" applyNumberFormat="1" applyFont="1" applyFill="1"/>
    <xf numFmtId="164" fontId="7" fillId="0" borderId="0" xfId="0" applyNumberFormat="1" applyFont="1" applyProtection="1"/>
    <xf numFmtId="164" fontId="7" fillId="2" borderId="0" xfId="2" applyNumberFormat="1" applyFont="1" applyFill="1"/>
    <xf numFmtId="165" fontId="3" fillId="0" borderId="0" xfId="0" applyNumberFormat="1" applyFont="1"/>
    <xf numFmtId="10" fontId="3" fillId="0" borderId="0" xfId="2" applyNumberFormat="1" applyFont="1" applyProtection="1"/>
    <xf numFmtId="164" fontId="3" fillId="0" borderId="0" xfId="0" applyNumberFormat="1" applyFont="1" applyProtection="1"/>
    <xf numFmtId="0" fontId="11" fillId="0" borderId="9" xfId="0" applyFont="1" applyBorder="1"/>
    <xf numFmtId="0" fontId="11" fillId="0" borderId="7" xfId="0" applyFont="1" applyBorder="1"/>
    <xf numFmtId="0" fontId="11" fillId="0" borderId="10" xfId="0" applyFont="1" applyBorder="1"/>
    <xf numFmtId="171" fontId="12" fillId="0" borderId="11" xfId="0" applyNumberFormat="1" applyFont="1" applyBorder="1" applyAlignment="1" applyProtection="1">
      <alignment horizontal="center"/>
    </xf>
    <xf numFmtId="0" fontId="1" fillId="0" borderId="0" xfId="3"/>
    <xf numFmtId="43" fontId="11" fillId="0" borderId="0" xfId="1" applyFont="1" applyFill="1" applyAlignment="1">
      <alignment horizontal="center"/>
    </xf>
    <xf numFmtId="0" fontId="13" fillId="0" borderId="0" xfId="0" applyFont="1" applyFill="1" applyBorder="1" applyAlignment="1">
      <alignment horizontal="center"/>
    </xf>
    <xf numFmtId="0" fontId="13" fillId="0" borderId="8" xfId="0" applyFont="1" applyFill="1" applyBorder="1" applyAlignment="1">
      <alignment horizontal="center"/>
    </xf>
    <xf numFmtId="0" fontId="13" fillId="0" borderId="12" xfId="0" applyFont="1" applyFill="1" applyBorder="1" applyAlignment="1">
      <alignment vertical="center"/>
    </xf>
    <xf numFmtId="169" fontId="13" fillId="0" borderId="12" xfId="1" applyNumberFormat="1" applyFont="1" applyFill="1" applyBorder="1" applyAlignment="1">
      <alignment vertical="center"/>
    </xf>
    <xf numFmtId="9" fontId="13" fillId="0" borderId="13" xfId="2" applyFont="1" applyFill="1" applyBorder="1" applyAlignment="1">
      <alignment horizontal="center" vertical="center"/>
    </xf>
    <xf numFmtId="169" fontId="13" fillId="0" borderId="14" xfId="1" applyNumberFormat="1" applyFont="1" applyFill="1" applyBorder="1" applyAlignment="1">
      <alignment horizontal="centerContinuous" vertical="center"/>
    </xf>
    <xf numFmtId="9" fontId="13" fillId="0" borderId="15" xfId="2" applyFont="1" applyFill="1" applyBorder="1" applyAlignment="1">
      <alignment horizontal="centerContinuous"/>
    </xf>
    <xf numFmtId="0" fontId="13" fillId="0" borderId="17" xfId="0" applyFont="1" applyFill="1" applyBorder="1" applyAlignment="1">
      <alignment horizontal="center" vertical="center"/>
    </xf>
    <xf numFmtId="169" fontId="13" fillId="0" borderId="17" xfId="1" applyNumberFormat="1" applyFont="1" applyFill="1" applyBorder="1" applyAlignment="1">
      <alignment vertical="center"/>
    </xf>
    <xf numFmtId="9" fontId="13" fillId="0" borderId="18" xfId="2" applyFont="1" applyFill="1" applyBorder="1" applyAlignment="1">
      <alignment horizontal="center" vertical="center"/>
    </xf>
    <xf numFmtId="169" fontId="13" fillId="0" borderId="0" xfId="1" applyNumberFormat="1" applyFont="1" applyFill="1" applyBorder="1"/>
    <xf numFmtId="9" fontId="13" fillId="0" borderId="18" xfId="2" quotePrefix="1" applyFont="1" applyFill="1" applyBorder="1" applyAlignment="1">
      <alignment horizontal="center"/>
    </xf>
    <xf numFmtId="0" fontId="13" fillId="0" borderId="0" xfId="0" applyFont="1" applyFill="1" applyBorder="1" applyAlignment="1">
      <alignment horizontal="centerContinuous" vertical="center"/>
    </xf>
    <xf numFmtId="9" fontId="14" fillId="0" borderId="18" xfId="2" applyFont="1" applyFill="1" applyBorder="1" applyAlignment="1">
      <alignment horizontal="centerContinuous" vertical="center"/>
    </xf>
    <xf numFmtId="0" fontId="13" fillId="0" borderId="17" xfId="0" applyFont="1" applyFill="1" applyBorder="1"/>
    <xf numFmtId="169" fontId="3" fillId="0" borderId="17" xfId="1" applyNumberFormat="1" applyFont="1" applyFill="1" applyBorder="1" applyAlignment="1">
      <alignment horizontal="center" vertical="center"/>
    </xf>
    <xf numFmtId="9" fontId="13" fillId="0" borderId="17" xfId="2" applyFont="1" applyFill="1" applyBorder="1" applyAlignment="1">
      <alignment horizontal="center" vertical="center"/>
    </xf>
    <xf numFmtId="169" fontId="3" fillId="0" borderId="0" xfId="1" applyNumberFormat="1" applyFont="1" applyFill="1" applyBorder="1" applyAlignment="1">
      <alignment horizontal="right"/>
    </xf>
    <xf numFmtId="9" fontId="3" fillId="0" borderId="18" xfId="2" applyFont="1" applyFill="1" applyBorder="1" applyAlignment="1">
      <alignment horizontal="center"/>
    </xf>
    <xf numFmtId="0" fontId="3" fillId="0" borderId="0" xfId="0" quotePrefix="1" applyFont="1" applyFill="1" applyBorder="1" applyAlignment="1">
      <alignment horizontal="center" vertical="center"/>
    </xf>
    <xf numFmtId="9" fontId="3" fillId="0" borderId="18" xfId="2" applyFont="1" applyFill="1" applyBorder="1" applyAlignment="1">
      <alignment horizontal="center" vertical="center"/>
    </xf>
    <xf numFmtId="0" fontId="13" fillId="0" borderId="20" xfId="0" quotePrefix="1" applyFont="1" applyFill="1" applyBorder="1" applyAlignment="1">
      <alignment horizontal="left" vertical="center"/>
    </xf>
    <xf numFmtId="3" fontId="13" fillId="0" borderId="20" xfId="0" applyNumberFormat="1" applyFont="1" applyFill="1" applyBorder="1" applyAlignment="1" applyProtection="1">
      <alignment horizontal="right" vertical="center"/>
    </xf>
    <xf numFmtId="9" fontId="13" fillId="0" borderId="15" xfId="2" applyNumberFormat="1" applyFont="1" applyFill="1" applyBorder="1" applyAlignment="1" applyProtection="1">
      <alignment horizontal="center" vertical="center"/>
    </xf>
    <xf numFmtId="168" fontId="13" fillId="0" borderId="14" xfId="1" applyNumberFormat="1" applyFont="1" applyFill="1" applyBorder="1" applyProtection="1"/>
    <xf numFmtId="9" fontId="13" fillId="0" borderId="15" xfId="2" applyNumberFormat="1" applyFont="1" applyFill="1" applyBorder="1" applyAlignment="1" applyProtection="1">
      <alignment horizontal="center"/>
    </xf>
    <xf numFmtId="0" fontId="13" fillId="0" borderId="17" xfId="0" quotePrefix="1" applyFont="1" applyFill="1" applyBorder="1" applyAlignment="1">
      <alignment horizontal="left" vertical="center"/>
    </xf>
    <xf numFmtId="3" fontId="13" fillId="0" borderId="17" xfId="0" applyNumberFormat="1" applyFont="1" applyFill="1" applyBorder="1" applyAlignment="1" applyProtection="1">
      <alignment horizontal="right" vertical="center"/>
    </xf>
    <xf numFmtId="9" fontId="13" fillId="0" borderId="0" xfId="2" applyNumberFormat="1" applyFont="1" applyFill="1" applyBorder="1" applyAlignment="1" applyProtection="1">
      <alignment horizontal="center" vertical="center"/>
    </xf>
    <xf numFmtId="168" fontId="13" fillId="0" borderId="21" xfId="1" applyNumberFormat="1" applyFont="1" applyFill="1" applyBorder="1" applyProtection="1"/>
    <xf numFmtId="9" fontId="13" fillId="0" borderId="18" xfId="2" applyNumberFormat="1" applyFont="1" applyFill="1" applyBorder="1" applyAlignment="1" applyProtection="1">
      <alignment horizontal="center"/>
    </xf>
    <xf numFmtId="10" fontId="13" fillId="0" borderId="18" xfId="2" applyNumberFormat="1" applyFont="1" applyFill="1" applyBorder="1" applyAlignment="1" applyProtection="1">
      <alignment horizontal="center"/>
    </xf>
    <xf numFmtId="0" fontId="12" fillId="0" borderId="17" xfId="0" quotePrefix="1" applyFont="1" applyFill="1" applyBorder="1" applyAlignment="1">
      <alignment horizontal="left"/>
    </xf>
    <xf numFmtId="3" fontId="12" fillId="0" borderId="17" xfId="0" applyNumberFormat="1" applyFont="1" applyFill="1" applyBorder="1" applyAlignment="1" applyProtection="1">
      <alignment horizontal="right" vertical="center"/>
    </xf>
    <xf numFmtId="168" fontId="12" fillId="0" borderId="21" xfId="1" applyNumberFormat="1" applyFont="1" applyFill="1" applyBorder="1" applyProtection="1"/>
    <xf numFmtId="10" fontId="12" fillId="0" borderId="18" xfId="2" applyNumberFormat="1" applyFont="1" applyFill="1" applyBorder="1" applyAlignment="1" applyProtection="1">
      <alignment horizontal="center"/>
    </xf>
    <xf numFmtId="41" fontId="15" fillId="0" borderId="21" xfId="0" applyNumberFormat="1" applyFont="1" applyFill="1" applyBorder="1" applyAlignment="1">
      <alignment horizontal="right" wrapText="1"/>
    </xf>
    <xf numFmtId="0" fontId="12" fillId="0" borderId="17" xfId="0" applyFont="1" applyFill="1" applyBorder="1" applyAlignment="1" applyProtection="1">
      <alignment horizontal="left"/>
    </xf>
    <xf numFmtId="3" fontId="12" fillId="0" borderId="17" xfId="0" applyNumberFormat="1" applyFont="1" applyFill="1" applyBorder="1" applyAlignment="1" applyProtection="1">
      <alignment horizontal="right"/>
    </xf>
    <xf numFmtId="2" fontId="12" fillId="0" borderId="18" xfId="1" applyNumberFormat="1" applyFont="1" applyFill="1" applyBorder="1" applyAlignment="1" applyProtection="1">
      <alignment horizontal="center"/>
    </xf>
    <xf numFmtId="0" fontId="12" fillId="0" borderId="17" xfId="0" applyFont="1" applyFill="1" applyBorder="1" applyAlignment="1">
      <alignment horizontal="left"/>
    </xf>
    <xf numFmtId="41" fontId="16" fillId="0" borderId="21" xfId="0" applyNumberFormat="1" applyFont="1" applyFill="1" applyBorder="1" applyAlignment="1">
      <alignment horizontal="right" wrapText="1"/>
    </xf>
    <xf numFmtId="39" fontId="12" fillId="0" borderId="18" xfId="2" applyNumberFormat="1" applyFont="1" applyFill="1" applyBorder="1" applyAlignment="1" applyProtection="1"/>
    <xf numFmtId="172" fontId="13" fillId="0" borderId="18" xfId="2" applyNumberFormat="1" applyFont="1" applyFill="1" applyBorder="1" applyAlignment="1" applyProtection="1">
      <alignment horizontal="right"/>
    </xf>
    <xf numFmtId="168" fontId="13" fillId="0" borderId="21" xfId="1" applyNumberFormat="1" applyFont="1" applyFill="1" applyBorder="1"/>
    <xf numFmtId="0" fontId="12" fillId="0" borderId="17" xfId="0" applyFont="1" applyFill="1" applyBorder="1"/>
    <xf numFmtId="168" fontId="12" fillId="0" borderId="21" xfId="0" applyNumberFormat="1" applyFont="1" applyFill="1" applyBorder="1" applyAlignment="1" applyProtection="1">
      <alignment horizontal="right"/>
    </xf>
    <xf numFmtId="0" fontId="12" fillId="0" borderId="17" xfId="0" quotePrefix="1" applyFont="1" applyFill="1" applyBorder="1" applyAlignment="1" applyProtection="1">
      <alignment horizontal="left"/>
    </xf>
    <xf numFmtId="172" fontId="12" fillId="0" borderId="18" xfId="2" applyNumberFormat="1" applyFont="1" applyFill="1" applyBorder="1" applyAlignment="1" applyProtection="1">
      <alignment horizontal="right"/>
    </xf>
    <xf numFmtId="0" fontId="12" fillId="0" borderId="22" xfId="0" applyFont="1" applyFill="1" applyBorder="1" applyAlignment="1" applyProtection="1">
      <alignment horizontal="left"/>
    </xf>
    <xf numFmtId="3" fontId="12" fillId="0" borderId="22" xfId="0" applyNumberFormat="1" applyFont="1" applyFill="1" applyBorder="1" applyAlignment="1" applyProtection="1">
      <alignment horizontal="right" vertical="center"/>
    </xf>
    <xf numFmtId="172" fontId="12" fillId="0" borderId="22" xfId="2" applyNumberFormat="1" applyFont="1" applyFill="1" applyBorder="1" applyAlignment="1" applyProtection="1">
      <alignment horizontal="right"/>
    </xf>
    <xf numFmtId="168" fontId="12" fillId="0" borderId="23" xfId="1" applyNumberFormat="1" applyFont="1" applyFill="1" applyBorder="1" applyProtection="1"/>
    <xf numFmtId="10" fontId="12" fillId="0" borderId="24" xfId="2" applyNumberFormat="1" applyFont="1" applyFill="1" applyBorder="1" applyAlignment="1" applyProtection="1">
      <alignment horizontal="center"/>
    </xf>
    <xf numFmtId="0" fontId="17" fillId="0" borderId="0" xfId="0" applyFont="1"/>
    <xf numFmtId="3" fontId="17" fillId="0" borderId="0" xfId="0" applyNumberFormat="1" applyFont="1" applyBorder="1" applyAlignment="1" applyProtection="1">
      <alignment horizontal="right"/>
    </xf>
    <xf numFmtId="173" fontId="18" fillId="0" borderId="0" xfId="2" applyNumberFormat="1" applyFont="1" applyAlignment="1">
      <alignment horizontal="right"/>
    </xf>
    <xf numFmtId="3" fontId="19" fillId="0" borderId="0" xfId="1" applyNumberFormat="1" applyFont="1"/>
    <xf numFmtId="3" fontId="19" fillId="0" borderId="0" xfId="1" applyNumberFormat="1" applyFont="1" applyAlignment="1">
      <alignment horizontal="center"/>
    </xf>
    <xf numFmtId="0" fontId="18" fillId="0" borderId="0" xfId="0" applyFont="1" applyBorder="1"/>
    <xf numFmtId="3" fontId="18" fillId="0" borderId="0" xfId="0" applyNumberFormat="1" applyFont="1" applyBorder="1" applyAlignment="1">
      <alignment horizontal="right"/>
    </xf>
    <xf numFmtId="0" fontId="17" fillId="0" borderId="0" xfId="0" applyFont="1" applyFill="1"/>
    <xf numFmtId="0" fontId="13" fillId="0" borderId="0" xfId="0" applyFont="1" applyFill="1" applyAlignment="1"/>
    <xf numFmtId="0" fontId="13" fillId="0" borderId="20" xfId="0" applyFont="1" applyFill="1" applyBorder="1" applyAlignment="1">
      <alignment horizontal="left" vertical="center"/>
    </xf>
    <xf numFmtId="0" fontId="20" fillId="0" borderId="0" xfId="0" applyFont="1" applyBorder="1"/>
    <xf numFmtId="0" fontId="13" fillId="0" borderId="17" xfId="0" applyFont="1" applyFill="1" applyBorder="1" applyAlignment="1">
      <alignment horizontal="left" vertical="center"/>
    </xf>
    <xf numFmtId="9" fontId="13" fillId="0" borderId="18" xfId="2" applyNumberFormat="1" applyFont="1" applyFill="1" applyBorder="1" applyAlignment="1" applyProtection="1">
      <alignment horizontal="center" vertical="center"/>
    </xf>
    <xf numFmtId="3" fontId="13" fillId="0" borderId="17" xfId="0" applyNumberFormat="1" applyFont="1" applyFill="1" applyBorder="1" applyAlignment="1" applyProtection="1">
      <alignment horizontal="right"/>
    </xf>
    <xf numFmtId="3" fontId="12" fillId="0" borderId="21" xfId="0" applyNumberFormat="1" applyFont="1" applyFill="1" applyBorder="1" applyAlignment="1" applyProtection="1">
      <alignment horizontal="right"/>
    </xf>
    <xf numFmtId="0" fontId="19" fillId="0" borderId="0" xfId="0" applyFont="1" applyBorder="1"/>
    <xf numFmtId="174" fontId="12" fillId="0" borderId="18" xfId="2" applyNumberFormat="1" applyFont="1" applyFill="1" applyBorder="1" applyAlignment="1" applyProtection="1">
      <alignment horizontal="center"/>
    </xf>
    <xf numFmtId="3" fontId="12" fillId="0" borderId="0" xfId="0" applyNumberFormat="1" applyFont="1" applyFill="1" applyBorder="1" applyAlignment="1" applyProtection="1">
      <alignment horizontal="right"/>
    </xf>
    <xf numFmtId="3" fontId="12" fillId="0" borderId="22" xfId="0" applyNumberFormat="1" applyFont="1" applyFill="1" applyBorder="1" applyAlignment="1" applyProtection="1">
      <alignment horizontal="right"/>
    </xf>
    <xf numFmtId="168" fontId="12" fillId="0" borderId="22" xfId="0" applyNumberFormat="1" applyFont="1" applyFill="1" applyBorder="1" applyAlignment="1" applyProtection="1">
      <alignment horizontal="right"/>
    </xf>
    <xf numFmtId="0" fontId="20" fillId="0" borderId="0" xfId="0" quotePrefix="1" applyFont="1" applyFill="1" applyBorder="1" applyAlignment="1">
      <alignment horizontal="left"/>
    </xf>
    <xf numFmtId="3" fontId="20" fillId="0" borderId="0" xfId="0" applyNumberFormat="1" applyFont="1" applyFill="1" applyBorder="1" applyAlignment="1" applyProtection="1">
      <alignment horizontal="right"/>
    </xf>
    <xf numFmtId="39" fontId="17" fillId="0" borderId="0" xfId="2" applyNumberFormat="1" applyFont="1" applyFill="1" applyAlignment="1" applyProtection="1">
      <alignment horizontal="right"/>
    </xf>
    <xf numFmtId="168" fontId="20" fillId="0" borderId="0" xfId="1" applyNumberFormat="1" applyFont="1" applyFill="1" applyBorder="1"/>
    <xf numFmtId="10" fontId="20" fillId="0" borderId="0" xfId="2" applyNumberFormat="1" applyFont="1" applyFill="1" applyBorder="1" applyAlignment="1" applyProtection="1">
      <alignment horizontal="center"/>
    </xf>
    <xf numFmtId="0" fontId="21" fillId="0" borderId="0" xfId="0" applyFont="1" applyFill="1" applyBorder="1" applyAlignment="1">
      <alignment horizontal="left"/>
    </xf>
    <xf numFmtId="3" fontId="17" fillId="0" borderId="0" xfId="0" applyNumberFormat="1" applyFont="1" applyFill="1" applyBorder="1" applyAlignment="1" applyProtection="1">
      <alignment horizontal="right"/>
    </xf>
    <xf numFmtId="173" fontId="18" fillId="0" borderId="0" xfId="2" applyNumberFormat="1" applyFont="1" applyFill="1" applyAlignment="1">
      <alignment horizontal="right"/>
    </xf>
    <xf numFmtId="3" fontId="19" fillId="0" borderId="0" xfId="1" applyNumberFormat="1" applyFont="1" applyFill="1"/>
    <xf numFmtId="3" fontId="19" fillId="0" borderId="0" xfId="1" applyNumberFormat="1" applyFont="1" applyFill="1" applyAlignment="1">
      <alignment horizontal="center"/>
    </xf>
    <xf numFmtId="0" fontId="20" fillId="0" borderId="0" xfId="0" applyFont="1" applyFill="1" applyBorder="1"/>
    <xf numFmtId="0" fontId="21" fillId="0" borderId="0" xfId="0" applyFont="1" applyFill="1" applyAlignment="1">
      <alignment horizontal="left"/>
    </xf>
    <xf numFmtId="3" fontId="3" fillId="0" borderId="0" xfId="0" applyNumberFormat="1" applyFont="1" applyBorder="1" applyAlignment="1">
      <alignment horizontal="right"/>
    </xf>
    <xf numFmtId="173" fontId="3" fillId="0" borderId="0" xfId="2" applyNumberFormat="1" applyFont="1" applyAlignment="1">
      <alignment horizontal="right"/>
    </xf>
    <xf numFmtId="3" fontId="3" fillId="0" borderId="0" xfId="1" applyNumberFormat="1" applyFont="1"/>
    <xf numFmtId="3" fontId="3" fillId="0" borderId="0" xfId="1" applyNumberFormat="1" applyFont="1" applyAlignment="1">
      <alignment horizontal="center"/>
    </xf>
    <xf numFmtId="0" fontId="18" fillId="0" borderId="0" xfId="0" applyFont="1"/>
    <xf numFmtId="0" fontId="21" fillId="0" borderId="0" xfId="0" applyFont="1" applyBorder="1" applyAlignment="1">
      <alignment horizontal="left"/>
    </xf>
    <xf numFmtId="3" fontId="12" fillId="0" borderId="0" xfId="1" applyNumberFormat="1" applyFont="1" applyFill="1"/>
    <xf numFmtId="3" fontId="12" fillId="0" borderId="18" xfId="2" applyNumberFormat="1" applyFont="1" applyFill="1" applyBorder="1" applyAlignment="1" applyProtection="1">
      <alignment horizontal="right"/>
    </xf>
    <xf numFmtId="39" fontId="12" fillId="0" borderId="18" xfId="2" applyNumberFormat="1" applyFont="1" applyFill="1" applyBorder="1" applyAlignment="1" applyProtection="1">
      <alignment horizontal="right"/>
    </xf>
    <xf numFmtId="0" fontId="21" fillId="0" borderId="0" xfId="0" applyFont="1" applyAlignment="1">
      <alignment horizontal="left"/>
    </xf>
    <xf numFmtId="0" fontId="17" fillId="0" borderId="0" xfId="0" applyFont="1" applyBorder="1"/>
    <xf numFmtId="0" fontId="13" fillId="0" borderId="22" xfId="0" applyFont="1" applyFill="1" applyBorder="1"/>
    <xf numFmtId="169" fontId="3" fillId="0" borderId="22" xfId="1" applyNumberFormat="1" applyFont="1" applyFill="1" applyBorder="1" applyAlignment="1">
      <alignment horizontal="center" vertical="center"/>
    </xf>
    <xf numFmtId="9" fontId="13" fillId="0" borderId="22" xfId="2" applyFont="1" applyFill="1" applyBorder="1" applyAlignment="1">
      <alignment horizontal="center" vertical="center"/>
    </xf>
    <xf numFmtId="169" fontId="3" fillId="0" borderId="8" xfId="1" applyNumberFormat="1" applyFont="1" applyFill="1" applyBorder="1" applyAlignment="1">
      <alignment horizontal="right"/>
    </xf>
    <xf numFmtId="9" fontId="3" fillId="0" borderId="24" xfId="2" applyFont="1" applyFill="1" applyBorder="1" applyAlignment="1">
      <alignment horizontal="center"/>
    </xf>
    <xf numFmtId="0" fontId="3" fillId="0" borderId="8" xfId="0" quotePrefix="1" applyFont="1" applyFill="1" applyBorder="1" applyAlignment="1">
      <alignment horizontal="center" vertical="center"/>
    </xf>
    <xf numFmtId="9" fontId="3" fillId="0" borderId="24" xfId="2" applyFont="1" applyFill="1" applyBorder="1" applyAlignment="1">
      <alignment horizontal="center" vertical="center"/>
    </xf>
    <xf numFmtId="41" fontId="16" fillId="0" borderId="21" xfId="0" applyNumberFormat="1" applyFont="1" applyFill="1" applyBorder="1" applyAlignment="1">
      <alignment horizontal="right" vertical="top" wrapText="1"/>
    </xf>
    <xf numFmtId="41" fontId="15" fillId="0" borderId="21" xfId="0" applyNumberFormat="1" applyFont="1" applyFill="1" applyBorder="1" applyAlignment="1">
      <alignment horizontal="right" vertical="top" wrapText="1"/>
    </xf>
    <xf numFmtId="0" fontId="15" fillId="0" borderId="0" xfId="0" applyFont="1" applyFill="1"/>
    <xf numFmtId="0" fontId="15" fillId="0" borderId="0" xfId="0" applyFont="1" applyFill="1" applyBorder="1"/>
    <xf numFmtId="0" fontId="16" fillId="0" borderId="12" xfId="0" applyFont="1" applyFill="1" applyBorder="1" applyAlignment="1">
      <alignment horizontal="center" vertical="top" wrapText="1"/>
    </xf>
    <xf numFmtId="0" fontId="16" fillId="0" borderId="22" xfId="0" applyFont="1" applyFill="1" applyBorder="1" applyAlignment="1">
      <alignment horizontal="center" vertical="top" wrapText="1"/>
    </xf>
    <xf numFmtId="0" fontId="15" fillId="0" borderId="23" xfId="0" applyFont="1" applyFill="1" applyBorder="1" applyAlignment="1">
      <alignment horizontal="center" vertical="top" wrapText="1"/>
    </xf>
    <xf numFmtId="0" fontId="15" fillId="0" borderId="8" xfId="0" applyFont="1" applyFill="1" applyBorder="1" applyAlignment="1">
      <alignment horizontal="center" vertical="top" wrapText="1"/>
    </xf>
    <xf numFmtId="0" fontId="15" fillId="0" borderId="23" xfId="0" applyFont="1" applyFill="1" applyBorder="1" applyAlignment="1">
      <alignment horizontal="center"/>
    </xf>
    <xf numFmtId="0" fontId="15" fillId="0" borderId="24" xfId="0" applyFont="1" applyFill="1" applyBorder="1" applyAlignment="1">
      <alignment horizontal="center"/>
    </xf>
    <xf numFmtId="0" fontId="16" fillId="0" borderId="22" xfId="0" applyFont="1" applyFill="1" applyBorder="1" applyAlignment="1">
      <alignment horizontal="left" wrapText="1"/>
    </xf>
    <xf numFmtId="3" fontId="16" fillId="0" borderId="23" xfId="0" applyNumberFormat="1" applyFont="1" applyFill="1" applyBorder="1"/>
    <xf numFmtId="168" fontId="16" fillId="0" borderId="8" xfId="0" applyNumberFormat="1" applyFont="1" applyFill="1" applyBorder="1"/>
    <xf numFmtId="168" fontId="16" fillId="0" borderId="24" xfId="0" applyNumberFormat="1" applyFont="1" applyFill="1" applyBorder="1"/>
    <xf numFmtId="0" fontId="16" fillId="0" borderId="17" xfId="0" applyFont="1" applyFill="1" applyBorder="1" applyAlignment="1">
      <alignment horizontal="left" vertical="top" wrapText="1"/>
    </xf>
    <xf numFmtId="3" fontId="15" fillId="0" borderId="21" xfId="0" applyNumberFormat="1" applyFont="1" applyFill="1" applyBorder="1"/>
    <xf numFmtId="3" fontId="15" fillId="0" borderId="0" xfId="0" applyNumberFormat="1" applyFont="1" applyFill="1" applyBorder="1"/>
    <xf numFmtId="3" fontId="15" fillId="0" borderId="18" xfId="0" applyNumberFormat="1" applyFont="1" applyFill="1" applyBorder="1"/>
    <xf numFmtId="3" fontId="16" fillId="0" borderId="21" xfId="0" applyNumberFormat="1" applyFont="1" applyFill="1" applyBorder="1"/>
    <xf numFmtId="168" fontId="16" fillId="0" borderId="0" xfId="0" applyNumberFormat="1" applyFont="1" applyFill="1" applyBorder="1"/>
    <xf numFmtId="168" fontId="16" fillId="0" borderId="18" xfId="0" applyNumberFormat="1" applyFont="1" applyFill="1" applyBorder="1"/>
    <xf numFmtId="0" fontId="15" fillId="0" borderId="17" xfId="0" applyFont="1" applyFill="1" applyBorder="1" applyAlignment="1">
      <alignment horizontal="left" vertical="top" wrapText="1"/>
    </xf>
    <xf numFmtId="168" fontId="15" fillId="0" borderId="18" xfId="0" applyNumberFormat="1" applyFont="1" applyFill="1" applyBorder="1"/>
    <xf numFmtId="41" fontId="15" fillId="0" borderId="18" xfId="0" applyNumberFormat="1" applyFont="1" applyFill="1" applyBorder="1" applyAlignment="1">
      <alignment horizontal="right" wrapText="1"/>
    </xf>
    <xf numFmtId="3" fontId="15" fillId="0" borderId="21" xfId="0" applyNumberFormat="1" applyFont="1" applyFill="1" applyBorder="1" applyAlignment="1">
      <alignment vertical="top" wrapText="1"/>
    </xf>
    <xf numFmtId="3" fontId="15" fillId="0" borderId="0" xfId="0" applyNumberFormat="1" applyFont="1" applyFill="1" applyBorder="1" applyAlignment="1">
      <alignment vertical="top" wrapText="1"/>
    </xf>
    <xf numFmtId="3" fontId="16" fillId="0" borderId="21" xfId="0" applyNumberFormat="1" applyFont="1" applyFill="1" applyBorder="1" applyAlignment="1">
      <alignment vertical="top" wrapText="1"/>
    </xf>
    <xf numFmtId="168" fontId="16" fillId="0" borderId="0" xfId="0" applyNumberFormat="1" applyFont="1" applyFill="1" applyBorder="1" applyAlignment="1">
      <alignment vertical="top" wrapText="1"/>
    </xf>
    <xf numFmtId="0" fontId="15" fillId="0" borderId="22" xfId="0" applyFont="1" applyFill="1" applyBorder="1" applyAlignment="1">
      <alignment horizontal="left" vertical="top" wrapText="1"/>
    </xf>
    <xf numFmtId="3" fontId="15" fillId="0" borderId="23" xfId="0" applyNumberFormat="1" applyFont="1" applyFill="1" applyBorder="1"/>
    <xf numFmtId="168" fontId="15" fillId="0" borderId="24" xfId="0" applyNumberFormat="1" applyFont="1" applyFill="1" applyBorder="1"/>
    <xf numFmtId="0" fontId="16" fillId="0" borderId="25" xfId="0" applyFont="1" applyFill="1" applyBorder="1" applyAlignment="1">
      <alignment horizontal="center" vertical="top" wrapText="1"/>
    </xf>
    <xf numFmtId="0" fontId="23" fillId="0" borderId="0" xfId="0" applyFont="1" applyFill="1"/>
    <xf numFmtId="0" fontId="16" fillId="0" borderId="0" xfId="0" applyFont="1" applyFill="1" applyBorder="1" applyAlignment="1">
      <alignment horizontal="center" vertical="top" wrapText="1"/>
    </xf>
    <xf numFmtId="0" fontId="15" fillId="0" borderId="0" xfId="0" applyFont="1" applyFill="1" applyAlignment="1">
      <alignment vertical="top" wrapText="1"/>
    </xf>
    <xf numFmtId="0" fontId="23" fillId="0" borderId="0" xfId="0" applyFont="1" applyFill="1" applyBorder="1"/>
    <xf numFmtId="0" fontId="23" fillId="0" borderId="0" xfId="0" applyFont="1" applyFill="1" applyAlignment="1"/>
    <xf numFmtId="0" fontId="16" fillId="0" borderId="20" xfId="0" applyFont="1" applyFill="1" applyBorder="1" applyAlignment="1">
      <alignment horizontal="left" wrapText="1"/>
    </xf>
    <xf numFmtId="3" fontId="16" fillId="0" borderId="14" xfId="0" applyNumberFormat="1" applyFont="1" applyFill="1" applyBorder="1"/>
    <xf numFmtId="168" fontId="16" fillId="0" borderId="16" xfId="0" applyNumberFormat="1" applyFont="1" applyFill="1" applyBorder="1"/>
    <xf numFmtId="168" fontId="16" fillId="0" borderId="15" xfId="0" applyNumberFormat="1" applyFont="1" applyFill="1" applyBorder="1"/>
    <xf numFmtId="0" fontId="16" fillId="0" borderId="14" xfId="0" applyFont="1" applyFill="1" applyBorder="1" applyAlignment="1">
      <alignment horizontal="left" wrapText="1"/>
    </xf>
    <xf numFmtId="0" fontId="16" fillId="0" borderId="21"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23" xfId="0" applyFont="1" applyFill="1" applyBorder="1" applyAlignment="1">
      <alignment horizontal="left" vertical="top" wrapText="1"/>
    </xf>
    <xf numFmtId="168" fontId="15" fillId="0" borderId="0" xfId="0" applyNumberFormat="1" applyFont="1" applyFill="1" applyBorder="1" applyAlignment="1">
      <alignment vertical="top" wrapText="1"/>
    </xf>
    <xf numFmtId="0" fontId="24" fillId="0" borderId="0" xfId="0" applyFont="1"/>
    <xf numFmtId="0" fontId="13" fillId="0" borderId="0" xfId="0" applyFont="1" applyBorder="1" applyAlignment="1">
      <alignment horizontal="center"/>
    </xf>
    <xf numFmtId="0" fontId="13" fillId="0" borderId="0" xfId="0" applyFont="1"/>
    <xf numFmtId="0" fontId="12" fillId="0" borderId="0" xfId="0" applyFont="1"/>
    <xf numFmtId="0" fontId="13" fillId="0" borderId="13" xfId="0" applyFont="1" applyBorder="1"/>
    <xf numFmtId="0" fontId="12" fillId="0" borderId="21" xfId="0" applyFont="1" applyBorder="1"/>
    <xf numFmtId="0" fontId="13" fillId="0" borderId="18" xfId="0" applyFont="1" applyBorder="1"/>
    <xf numFmtId="169" fontId="13" fillId="0" borderId="21" xfId="1" applyNumberFormat="1" applyFont="1" applyBorder="1" applyAlignment="1">
      <alignment horizontal="center"/>
    </xf>
    <xf numFmtId="169" fontId="13" fillId="0" borderId="18" xfId="1" applyNumberFormat="1" applyFont="1" applyBorder="1" applyAlignment="1">
      <alignment horizontal="center"/>
    </xf>
    <xf numFmtId="0" fontId="13" fillId="0" borderId="14" xfId="0" applyFont="1" applyBorder="1"/>
    <xf numFmtId="0" fontId="13" fillId="0" borderId="16" xfId="0" applyFont="1" applyBorder="1"/>
    <xf numFmtId="3" fontId="25" fillId="0" borderId="14" xfId="0" applyNumberFormat="1" applyFont="1" applyBorder="1"/>
    <xf numFmtId="9" fontId="13" fillId="0" borderId="15" xfId="2" applyNumberFormat="1" applyFont="1" applyBorder="1" applyAlignment="1">
      <alignment horizontal="center"/>
    </xf>
    <xf numFmtId="168" fontId="13" fillId="0" borderId="16" xfId="0" applyNumberFormat="1" applyFont="1" applyBorder="1"/>
    <xf numFmtId="49" fontId="25" fillId="0" borderId="14" xfId="0" applyNumberFormat="1" applyFont="1" applyBorder="1"/>
    <xf numFmtId="0" fontId="25" fillId="0" borderId="16" xfId="0" applyFont="1" applyBorder="1"/>
    <xf numFmtId="10" fontId="25" fillId="0" borderId="15" xfId="2" applyNumberFormat="1" applyFont="1" applyBorder="1" applyAlignment="1">
      <alignment horizontal="center"/>
    </xf>
    <xf numFmtId="168" fontId="25" fillId="0" borderId="16" xfId="0" applyNumberFormat="1" applyFont="1" applyBorder="1"/>
    <xf numFmtId="10" fontId="25" fillId="0" borderId="0" xfId="2" applyNumberFormat="1" applyFont="1" applyBorder="1" applyAlignment="1">
      <alignment horizontal="center"/>
    </xf>
    <xf numFmtId="49" fontId="25" fillId="0" borderId="21" xfId="0" applyNumberFormat="1" applyFont="1" applyBorder="1"/>
    <xf numFmtId="0" fontId="25" fillId="0" borderId="0" xfId="0" applyFont="1" applyBorder="1"/>
    <xf numFmtId="3" fontId="25" fillId="0" borderId="21" xfId="0" applyNumberFormat="1" applyFont="1" applyBorder="1"/>
    <xf numFmtId="10" fontId="25" fillId="0" borderId="18" xfId="2" applyNumberFormat="1" applyFont="1" applyBorder="1" applyAlignment="1">
      <alignment horizontal="center"/>
    </xf>
    <xf numFmtId="168" fontId="25" fillId="0" borderId="0" xfId="0" applyNumberFormat="1" applyFont="1" applyBorder="1"/>
    <xf numFmtId="49" fontId="25" fillId="0" borderId="19" xfId="0" applyNumberFormat="1" applyFont="1" applyBorder="1"/>
    <xf numFmtId="0" fontId="25" fillId="0" borderId="25" xfId="0" applyFont="1" applyBorder="1"/>
    <xf numFmtId="3" fontId="25" fillId="0" borderId="19" xfId="0" applyNumberFormat="1" applyFont="1" applyBorder="1"/>
    <xf numFmtId="10" fontId="25" fillId="0" borderId="13" xfId="2" applyNumberFormat="1" applyFont="1" applyBorder="1" applyAlignment="1">
      <alignment horizontal="center"/>
    </xf>
    <xf numFmtId="168" fontId="25" fillId="0" borderId="25" xfId="0" applyNumberFormat="1" applyFont="1" applyBorder="1"/>
    <xf numFmtId="49" fontId="13" fillId="0" borderId="21" xfId="0" applyNumberFormat="1" applyFont="1" applyBorder="1"/>
    <xf numFmtId="49" fontId="13" fillId="0" borderId="0" xfId="0" applyNumberFormat="1" applyFont="1" applyBorder="1"/>
    <xf numFmtId="3" fontId="13" fillId="0" borderId="21" xfId="0" applyNumberFormat="1" applyFont="1" applyBorder="1"/>
    <xf numFmtId="10" fontId="13" fillId="0" borderId="18" xfId="2" applyNumberFormat="1" applyFont="1" applyBorder="1" applyAlignment="1">
      <alignment horizontal="center"/>
    </xf>
    <xf numFmtId="168" fontId="13" fillId="0" borderId="0" xfId="0" applyNumberFormat="1" applyFont="1" applyBorder="1"/>
    <xf numFmtId="0" fontId="13" fillId="0" borderId="0" xfId="0" applyFont="1" applyBorder="1"/>
    <xf numFmtId="10" fontId="13" fillId="0" borderId="0" xfId="2" applyNumberFormat="1" applyFont="1" applyBorder="1" applyAlignment="1">
      <alignment horizontal="center"/>
    </xf>
    <xf numFmtId="168" fontId="13" fillId="0" borderId="21" xfId="0" applyNumberFormat="1" applyFont="1" applyBorder="1"/>
    <xf numFmtId="49" fontId="12" fillId="0" borderId="21" xfId="0" applyNumberFormat="1" applyFont="1" applyBorder="1"/>
    <xf numFmtId="49" fontId="12" fillId="0" borderId="0" xfId="0" applyNumberFormat="1" applyFont="1"/>
    <xf numFmtId="3" fontId="12" fillId="0" borderId="21" xfId="4" applyNumberFormat="1" applyFont="1" applyBorder="1"/>
    <xf numFmtId="10" fontId="12" fillId="0" borderId="18" xfId="2" applyNumberFormat="1" applyFont="1" applyBorder="1" applyAlignment="1">
      <alignment horizontal="center"/>
    </xf>
    <xf numFmtId="168" fontId="12" fillId="0" borderId="21" xfId="0" applyNumberFormat="1" applyFont="1" applyBorder="1"/>
    <xf numFmtId="168" fontId="12" fillId="0" borderId="0" xfId="0" applyNumberFormat="1" applyFont="1"/>
    <xf numFmtId="49" fontId="12" fillId="0" borderId="0" xfId="0" applyNumberFormat="1" applyFont="1" applyFill="1"/>
    <xf numFmtId="49" fontId="12" fillId="0" borderId="23" xfId="0" applyNumberFormat="1" applyFont="1" applyBorder="1"/>
    <xf numFmtId="49" fontId="12" fillId="0" borderId="8" xfId="0" applyNumberFormat="1" applyFont="1" applyBorder="1"/>
    <xf numFmtId="3" fontId="12" fillId="0" borderId="23" xfId="4" applyNumberFormat="1" applyFont="1" applyBorder="1"/>
    <xf numFmtId="10" fontId="12" fillId="0" borderId="24" xfId="2" applyNumberFormat="1" applyFont="1" applyBorder="1" applyAlignment="1">
      <alignment horizontal="center"/>
    </xf>
    <xf numFmtId="168" fontId="12" fillId="0" borderId="23" xfId="0" applyNumberFormat="1" applyFont="1" applyBorder="1"/>
    <xf numFmtId="49" fontId="12" fillId="0" borderId="0" xfId="0" applyNumberFormat="1" applyFont="1" applyBorder="1"/>
    <xf numFmtId="0" fontId="26" fillId="0" borderId="0" xfId="0" applyFont="1"/>
    <xf numFmtId="168" fontId="0" fillId="0" borderId="0" xfId="0" applyNumberFormat="1"/>
    <xf numFmtId="168" fontId="24" fillId="0" borderId="0" xfId="0" applyNumberFormat="1" applyFont="1"/>
    <xf numFmtId="0" fontId="13" fillId="0" borderId="19" xfId="0" applyFont="1" applyBorder="1"/>
    <xf numFmtId="0" fontId="12" fillId="0" borderId="13" xfId="0" applyFont="1" applyBorder="1"/>
    <xf numFmtId="168" fontId="12" fillId="0" borderId="21" xfId="0" applyNumberFormat="1" applyFont="1" applyBorder="1" applyAlignment="1">
      <alignment horizontal="center"/>
    </xf>
    <xf numFmtId="3" fontId="13" fillId="0" borderId="14" xfId="0" applyNumberFormat="1" applyFont="1" applyBorder="1"/>
    <xf numFmtId="168" fontId="25" fillId="0" borderId="19" xfId="0" applyNumberFormat="1" applyFont="1" applyBorder="1"/>
    <xf numFmtId="49" fontId="13" fillId="0" borderId="21" xfId="0" applyNumberFormat="1" applyFont="1" applyBorder="1" applyAlignment="1">
      <alignment horizontal="left"/>
    </xf>
    <xf numFmtId="0" fontId="12" fillId="0" borderId="0" xfId="0" applyFont="1" applyBorder="1"/>
    <xf numFmtId="0" fontId="13" fillId="0" borderId="21" xfId="0" applyFont="1" applyBorder="1"/>
    <xf numFmtId="10" fontId="12" fillId="0" borderId="0" xfId="2" applyNumberFormat="1" applyFont="1" applyAlignment="1">
      <alignment horizontal="center"/>
    </xf>
    <xf numFmtId="0" fontId="24" fillId="0" borderId="0" xfId="0" applyFont="1" applyAlignment="1">
      <alignment horizontal="center"/>
    </xf>
    <xf numFmtId="0" fontId="27" fillId="0" borderId="0" xfId="0" applyFont="1"/>
    <xf numFmtId="49" fontId="24" fillId="0" borderId="0" xfId="0" applyNumberFormat="1" applyFont="1"/>
    <xf numFmtId="0" fontId="12" fillId="0" borderId="23" xfId="0" applyFont="1" applyBorder="1"/>
    <xf numFmtId="169" fontId="13" fillId="0" borderId="23" xfId="1" applyNumberFormat="1" applyFont="1" applyBorder="1" applyAlignment="1">
      <alignment horizontal="center"/>
    </xf>
    <xf numFmtId="169" fontId="13" fillId="0" borderId="24" xfId="1" applyNumberFormat="1" applyFont="1" applyBorder="1" applyAlignment="1">
      <alignment horizontal="center"/>
    </xf>
    <xf numFmtId="168" fontId="12" fillId="0" borderId="23" xfId="0" applyNumberFormat="1" applyFont="1" applyBorder="1" applyAlignment="1">
      <alignment horizontal="center"/>
    </xf>
    <xf numFmtId="9" fontId="13" fillId="0" borderId="18" xfId="2" applyNumberFormat="1" applyFont="1" applyBorder="1" applyAlignment="1">
      <alignment horizontal="center"/>
    </xf>
    <xf numFmtId="0" fontId="24" fillId="0" borderId="25" xfId="0" applyFont="1" applyBorder="1"/>
    <xf numFmtId="0" fontId="24" fillId="0" borderId="0" xfId="0" applyFont="1" applyBorder="1"/>
    <xf numFmtId="10" fontId="24" fillId="0" borderId="0" xfId="2" applyNumberFormat="1" applyFont="1" applyBorder="1" applyAlignment="1">
      <alignment horizontal="center"/>
    </xf>
    <xf numFmtId="168" fontId="24" fillId="0" borderId="0" xfId="0" applyNumberFormat="1" applyFont="1" applyBorder="1"/>
    <xf numFmtId="49" fontId="13" fillId="0" borderId="23" xfId="0" applyNumberFormat="1" applyFont="1" applyBorder="1" applyAlignment="1">
      <alignment horizontal="left"/>
    </xf>
    <xf numFmtId="0" fontId="12" fillId="0" borderId="0" xfId="0" applyFont="1" applyAlignment="1">
      <alignment horizontal="center"/>
    </xf>
    <xf numFmtId="49" fontId="12" fillId="0" borderId="21" xfId="0" applyNumberFormat="1" applyFont="1" applyBorder="1" applyAlignment="1">
      <alignment horizontal="left"/>
    </xf>
    <xf numFmtId="0" fontId="1" fillId="0" borderId="21" xfId="6" applyBorder="1"/>
    <xf numFmtId="49" fontId="12" fillId="0" borderId="23" xfId="0" applyNumberFormat="1" applyFont="1" applyBorder="1" applyAlignment="1">
      <alignment horizontal="left"/>
    </xf>
    <xf numFmtId="0" fontId="1" fillId="0" borderId="23" xfId="6" applyBorder="1"/>
    <xf numFmtId="0" fontId="28" fillId="0" borderId="0" xfId="0" applyFont="1"/>
    <xf numFmtId="0" fontId="6" fillId="0" borderId="21" xfId="0" applyFont="1" applyBorder="1"/>
    <xf numFmtId="49" fontId="12" fillId="0" borderId="18" xfId="0" applyNumberFormat="1" applyFont="1" applyBorder="1"/>
    <xf numFmtId="0" fontId="3" fillId="0" borderId="0" xfId="0" quotePrefix="1" applyNumberFormat="1" applyFont="1"/>
    <xf numFmtId="164" fontId="24" fillId="0" borderId="0" xfId="2" applyNumberFormat="1" applyFont="1"/>
    <xf numFmtId="0" fontId="6" fillId="0" borderId="0" xfId="0" applyFont="1" applyAlignment="1">
      <alignment horizontal="center"/>
    </xf>
    <xf numFmtId="0" fontId="31" fillId="0" borderId="0" xfId="0" applyFont="1" applyFill="1" applyAlignment="1">
      <alignment horizontal="center"/>
    </xf>
    <xf numFmtId="0" fontId="32" fillId="0" borderId="0" xfId="0" applyFont="1" applyFill="1" applyAlignment="1">
      <alignment horizontal="center"/>
    </xf>
    <xf numFmtId="0" fontId="23" fillId="0" borderId="12" xfId="0" applyFont="1" applyFill="1" applyBorder="1" applyAlignment="1">
      <alignment vertical="top" wrapText="1"/>
    </xf>
    <xf numFmtId="0" fontId="23" fillId="0" borderId="17" xfId="0" applyFont="1" applyFill="1" applyBorder="1" applyAlignment="1">
      <alignment horizontal="center"/>
    </xf>
    <xf numFmtId="0" fontId="31" fillId="0" borderId="27" xfId="0" applyFont="1" applyFill="1" applyBorder="1" applyAlignment="1">
      <alignment horizontal="center"/>
    </xf>
    <xf numFmtId="0" fontId="31" fillId="0" borderId="12" xfId="0" applyFont="1" applyFill="1" applyBorder="1" applyAlignment="1">
      <alignment horizontal="center"/>
    </xf>
    <xf numFmtId="0" fontId="31" fillId="0" borderId="22" xfId="0" applyFont="1" applyFill="1" applyBorder="1" applyAlignment="1">
      <alignment horizontal="left" vertical="top" wrapText="1"/>
    </xf>
    <xf numFmtId="0" fontId="31" fillId="0" borderId="23" xfId="0" applyFont="1" applyFill="1" applyBorder="1" applyAlignment="1">
      <alignment horizontal="center" vertical="top" wrapText="1"/>
    </xf>
    <xf numFmtId="0" fontId="31" fillId="0" borderId="28" xfId="0" applyFont="1" applyFill="1" applyBorder="1" applyAlignment="1">
      <alignment horizontal="center" vertical="top" wrapText="1"/>
    </xf>
    <xf numFmtId="0" fontId="31" fillId="0" borderId="19" xfId="0" applyFont="1" applyFill="1" applyBorder="1" applyAlignment="1">
      <alignment horizontal="center" vertical="top" wrapText="1"/>
    </xf>
    <xf numFmtId="0" fontId="33" fillId="0" borderId="19" xfId="0" applyFont="1" applyFill="1" applyBorder="1" applyAlignment="1">
      <alignment horizontal="center" vertical="top" wrapText="1"/>
    </xf>
    <xf numFmtId="0" fontId="31" fillId="0" borderId="22" xfId="0" applyFont="1" applyFill="1" applyBorder="1" applyAlignment="1">
      <alignment horizontal="center"/>
    </xf>
    <xf numFmtId="0" fontId="31" fillId="0" borderId="17" xfId="0" applyFont="1" applyFill="1" applyBorder="1" applyAlignment="1">
      <alignment horizontal="left" vertical="top" wrapText="1"/>
    </xf>
    <xf numFmtId="0" fontId="31" fillId="0" borderId="21" xfId="0" applyFont="1" applyFill="1" applyBorder="1" applyAlignment="1">
      <alignment horizontal="center" vertical="top" wrapText="1"/>
    </xf>
    <xf numFmtId="0" fontId="31" fillId="0" borderId="29" xfId="0" applyFont="1" applyFill="1" applyBorder="1" applyAlignment="1">
      <alignment horizontal="center" vertical="top" wrapText="1"/>
    </xf>
    <xf numFmtId="0" fontId="31" fillId="0" borderId="17" xfId="0" applyFont="1" applyFill="1" applyBorder="1" applyAlignment="1">
      <alignment horizontal="center"/>
    </xf>
    <xf numFmtId="168" fontId="16" fillId="0" borderId="21" xfId="0" applyNumberFormat="1" applyFont="1" applyFill="1" applyBorder="1"/>
    <xf numFmtId="168" fontId="16" fillId="0" borderId="30" xfId="0" applyNumberFormat="1" applyFont="1" applyFill="1" applyBorder="1"/>
    <xf numFmtId="168" fontId="16" fillId="0" borderId="17" xfId="0" applyNumberFormat="1" applyFont="1" applyFill="1" applyBorder="1"/>
    <xf numFmtId="168" fontId="15" fillId="0" borderId="17" xfId="0" applyNumberFormat="1" applyFont="1" applyFill="1" applyBorder="1"/>
    <xf numFmtId="168" fontId="15" fillId="0" borderId="21" xfId="0" applyNumberFormat="1" applyFont="1" applyFill="1" applyBorder="1" applyAlignment="1">
      <alignment vertical="top" wrapText="1"/>
    </xf>
    <xf numFmtId="168" fontId="15" fillId="0" borderId="29" xfId="0" applyNumberFormat="1" applyFont="1" applyFill="1" applyBorder="1"/>
    <xf numFmtId="41" fontId="15" fillId="0" borderId="21" xfId="0" applyNumberFormat="1" applyFont="1" applyFill="1" applyBorder="1" applyAlignment="1">
      <alignment vertical="top" wrapText="1"/>
    </xf>
    <xf numFmtId="168" fontId="15" fillId="0" borderId="29" xfId="0" applyNumberFormat="1" applyFont="1" applyFill="1" applyBorder="1" applyAlignment="1">
      <alignment vertical="top" wrapText="1"/>
    </xf>
    <xf numFmtId="168" fontId="15" fillId="0" borderId="21" xfId="0" applyNumberFormat="1" applyFont="1" applyFill="1" applyBorder="1" applyAlignment="1">
      <alignment vertical="top"/>
    </xf>
    <xf numFmtId="168" fontId="16" fillId="0" borderId="21" xfId="0" applyNumberFormat="1" applyFont="1" applyFill="1" applyBorder="1" applyAlignment="1">
      <alignment vertical="top" wrapText="1"/>
    </xf>
    <xf numFmtId="168" fontId="16" fillId="0" borderId="29" xfId="0" applyNumberFormat="1" applyFont="1" applyFill="1" applyBorder="1" applyAlignment="1">
      <alignment vertical="top" wrapText="1"/>
    </xf>
    <xf numFmtId="168" fontId="16" fillId="0" borderId="17" xfId="0" applyNumberFormat="1" applyFont="1" applyFill="1" applyBorder="1" applyAlignment="1">
      <alignment vertical="top" wrapText="1"/>
    </xf>
    <xf numFmtId="0" fontId="23" fillId="0" borderId="17" xfId="0" applyFont="1" applyFill="1" applyBorder="1"/>
    <xf numFmtId="0" fontId="23" fillId="0" borderId="21" xfId="0" applyFont="1" applyFill="1" applyBorder="1"/>
    <xf numFmtId="0" fontId="23" fillId="0" borderId="30" xfId="0" applyFont="1" applyFill="1" applyBorder="1"/>
    <xf numFmtId="41" fontId="16" fillId="0" borderId="21" xfId="0" applyNumberFormat="1" applyFont="1" applyFill="1" applyBorder="1" applyAlignment="1">
      <alignment vertical="top" wrapText="1"/>
    </xf>
    <xf numFmtId="0" fontId="16" fillId="0" borderId="20" xfId="0" applyFont="1" applyFill="1" applyBorder="1" applyAlignment="1">
      <alignment horizontal="left" vertical="top" wrapText="1"/>
    </xf>
    <xf numFmtId="168" fontId="16" fillId="0" borderId="19" xfId="0" applyNumberFormat="1" applyFont="1" applyFill="1" applyBorder="1" applyAlignment="1">
      <alignment vertical="top" wrapText="1"/>
    </xf>
    <xf numFmtId="168" fontId="16" fillId="0" borderId="31" xfId="0" applyNumberFormat="1" applyFont="1" applyFill="1" applyBorder="1" applyAlignment="1">
      <alignment vertical="top" wrapText="1"/>
    </xf>
    <xf numFmtId="168" fontId="16" fillId="0" borderId="25" xfId="0" applyNumberFormat="1" applyFont="1" applyFill="1" applyBorder="1" applyAlignment="1">
      <alignment vertical="top" wrapText="1"/>
    </xf>
    <xf numFmtId="0" fontId="23" fillId="0" borderId="25" xfId="0" applyFont="1" applyFill="1" applyBorder="1"/>
    <xf numFmtId="168" fontId="23" fillId="0" borderId="25" xfId="0" applyNumberFormat="1" applyFont="1" applyFill="1" applyBorder="1"/>
    <xf numFmtId="176" fontId="23" fillId="0" borderId="25" xfId="0" applyNumberFormat="1" applyFont="1" applyFill="1" applyBorder="1"/>
    <xf numFmtId="3" fontId="23" fillId="0" borderId="0" xfId="0" applyNumberFormat="1" applyFont="1" applyFill="1"/>
    <xf numFmtId="0" fontId="12" fillId="0" borderId="0" xfId="0" applyFont="1" applyFill="1" applyBorder="1" applyAlignment="1" applyProtection="1">
      <alignment horizontal="left"/>
    </xf>
    <xf numFmtId="0" fontId="7" fillId="0" borderId="0" xfId="0" applyFont="1" applyFill="1" applyBorder="1" applyAlignment="1">
      <alignment horizontal="center"/>
    </xf>
    <xf numFmtId="0" fontId="7" fillId="0" borderId="8" xfId="0" applyFont="1" applyFill="1" applyBorder="1" applyAlignment="1">
      <alignment horizontal="center"/>
    </xf>
    <xf numFmtId="0" fontId="5" fillId="0" borderId="8" xfId="0" applyFont="1" applyFill="1" applyBorder="1" applyAlignment="1">
      <alignment horizontal="center"/>
    </xf>
    <xf numFmtId="0" fontId="0" fillId="0" borderId="0" xfId="0" applyFill="1"/>
    <xf numFmtId="0" fontId="7" fillId="0" borderId="0" xfId="0" applyFont="1" applyFill="1" applyBorder="1"/>
    <xf numFmtId="0" fontId="0" fillId="0" borderId="0" xfId="0" applyFill="1" applyBorder="1"/>
    <xf numFmtId="168" fontId="0" fillId="0" borderId="0" xfId="0" applyNumberFormat="1" applyFill="1"/>
    <xf numFmtId="0" fontId="7" fillId="0" borderId="0" xfId="0" applyFont="1" applyFill="1" applyAlignment="1">
      <alignment vertical="center"/>
    </xf>
    <xf numFmtId="176" fontId="23" fillId="0" borderId="0" xfId="0" applyNumberFormat="1" applyFont="1" applyFill="1"/>
    <xf numFmtId="0" fontId="13" fillId="0" borderId="23" xfId="0" applyFont="1" applyBorder="1" applyAlignment="1">
      <alignment horizontal="center"/>
    </xf>
    <xf numFmtId="0" fontId="13" fillId="0" borderId="0" xfId="0" applyFont="1" applyBorder="1" applyAlignment="1">
      <alignment horizontal="center"/>
    </xf>
    <xf numFmtId="0" fontId="13" fillId="0" borderId="21" xfId="0" applyFont="1" applyBorder="1" applyAlignment="1">
      <alignment horizontal="center"/>
    </xf>
    <xf numFmtId="0" fontId="31" fillId="0" borderId="32" xfId="0" applyFont="1" applyFill="1" applyBorder="1" applyAlignment="1">
      <alignment wrapText="1"/>
    </xf>
    <xf numFmtId="0" fontId="31" fillId="0" borderId="36" xfId="0" applyFont="1" applyFill="1" applyBorder="1" applyAlignment="1">
      <alignment horizontal="center"/>
    </xf>
    <xf numFmtId="0" fontId="31" fillId="0" borderId="0" xfId="0" applyFont="1" applyFill="1" applyAlignment="1"/>
    <xf numFmtId="0" fontId="31" fillId="0" borderId="38" xfId="0" applyFont="1" applyFill="1" applyBorder="1" applyAlignment="1"/>
    <xf numFmtId="0" fontId="16" fillId="0" borderId="38" xfId="0" applyFont="1" applyFill="1" applyBorder="1" applyAlignment="1">
      <alignment horizontal="center"/>
    </xf>
    <xf numFmtId="0" fontId="16" fillId="0" borderId="36" xfId="0" applyFont="1" applyFill="1" applyBorder="1" applyAlignment="1">
      <alignment horizontal="left" wrapText="1"/>
    </xf>
    <xf numFmtId="0" fontId="16" fillId="0" borderId="38" xfId="0" applyFont="1" applyFill="1" applyBorder="1" applyAlignment="1">
      <alignment horizontal="center" wrapText="1"/>
    </xf>
    <xf numFmtId="0" fontId="16" fillId="0" borderId="39" xfId="0" applyFont="1" applyFill="1" applyBorder="1" applyAlignment="1">
      <alignment horizontal="center" wrapText="1"/>
    </xf>
    <xf numFmtId="0" fontId="16" fillId="0" borderId="41" xfId="0" applyFont="1" applyFill="1" applyBorder="1" applyAlignment="1">
      <alignment horizontal="center" wrapText="1"/>
    </xf>
    <xf numFmtId="0" fontId="16" fillId="0" borderId="40" xfId="0" applyFont="1" applyFill="1" applyBorder="1" applyAlignment="1">
      <alignment horizontal="center" wrapText="1"/>
    </xf>
    <xf numFmtId="0" fontId="16" fillId="0" borderId="42" xfId="0" applyFont="1" applyFill="1" applyBorder="1" applyAlignment="1">
      <alignment horizontal="left" wrapText="1"/>
    </xf>
    <xf numFmtId="175" fontId="16" fillId="0" borderId="43" xfId="0" applyNumberFormat="1" applyFont="1" applyFill="1" applyBorder="1" applyAlignment="1">
      <alignment wrapText="1"/>
    </xf>
    <xf numFmtId="175" fontId="16" fillId="0" borderId="44" xfId="0" applyNumberFormat="1" applyFont="1" applyFill="1" applyBorder="1" applyAlignment="1">
      <alignment wrapText="1"/>
    </xf>
    <xf numFmtId="175" fontId="16" fillId="0" borderId="45" xfId="0" applyNumberFormat="1" applyFont="1" applyFill="1" applyBorder="1" applyAlignment="1">
      <alignment wrapText="1"/>
    </xf>
    <xf numFmtId="41" fontId="0" fillId="0" borderId="39" xfId="0" applyNumberFormat="1" applyFont="1" applyFill="1" applyBorder="1" applyAlignment="1"/>
    <xf numFmtId="41" fontId="0" fillId="0" borderId="0" xfId="0" applyNumberFormat="1" applyFont="1" applyFill="1" applyAlignment="1"/>
    <xf numFmtId="41" fontId="0" fillId="0" borderId="38" xfId="0" applyNumberFormat="1" applyFont="1" applyFill="1" applyBorder="1" applyAlignment="1"/>
    <xf numFmtId="3" fontId="16" fillId="0" borderId="46" xfId="0" applyNumberFormat="1" applyFont="1" applyFill="1" applyBorder="1" applyAlignment="1"/>
    <xf numFmtId="3" fontId="16" fillId="0" borderId="47" xfId="0" applyNumberFormat="1" applyFont="1" applyFill="1" applyBorder="1" applyAlignment="1"/>
    <xf numFmtId="0" fontId="0" fillId="0" borderId="32" xfId="0" applyFont="1" applyFill="1" applyBorder="1" applyAlignment="1">
      <alignment horizontal="left" wrapText="1"/>
    </xf>
    <xf numFmtId="41" fontId="0" fillId="0" borderId="48" xfId="0" applyNumberFormat="1" applyFont="1" applyFill="1" applyBorder="1" applyAlignment="1"/>
    <xf numFmtId="41" fontId="0" fillId="0" borderId="37" xfId="0" applyNumberFormat="1" applyFont="1" applyFill="1" applyBorder="1" applyAlignment="1"/>
    <xf numFmtId="41" fontId="0" fillId="0" borderId="49" xfId="0" applyNumberFormat="1" applyFont="1" applyFill="1" applyBorder="1" applyAlignment="1"/>
    <xf numFmtId="41" fontId="0" fillId="0" borderId="50" xfId="0" applyNumberFormat="1" applyFont="1" applyFill="1" applyBorder="1" applyAlignment="1"/>
    <xf numFmtId="0" fontId="0" fillId="0" borderId="36" xfId="0" applyFont="1" applyFill="1" applyBorder="1" applyAlignment="1">
      <alignment horizontal="left" wrapText="1"/>
    </xf>
    <xf numFmtId="3" fontId="0" fillId="0" borderId="38" xfId="0" applyNumberFormat="1" applyFont="1" applyFill="1" applyBorder="1" applyAlignment="1">
      <alignment wrapText="1"/>
    </xf>
    <xf numFmtId="3" fontId="0" fillId="0" borderId="39" xfId="0" applyNumberFormat="1" applyFont="1" applyFill="1" applyBorder="1" applyAlignment="1">
      <alignment wrapText="1"/>
    </xf>
    <xf numFmtId="3" fontId="16" fillId="0" borderId="40" xfId="0" applyNumberFormat="1" applyFont="1" applyFill="1" applyBorder="1" applyAlignment="1">
      <alignment wrapText="1"/>
    </xf>
    <xf numFmtId="41" fontId="0" fillId="0" borderId="40" xfId="0" applyNumberFormat="1" applyFont="1" applyFill="1" applyBorder="1" applyAlignment="1"/>
    <xf numFmtId="3" fontId="0" fillId="0" borderId="37" xfId="0" applyNumberFormat="1" applyFont="1" applyFill="1" applyBorder="1" applyAlignment="1">
      <alignment wrapText="1"/>
    </xf>
    <xf numFmtId="0" fontId="23" fillId="0" borderId="36" xfId="0" applyFont="1" applyFill="1" applyBorder="1" applyAlignment="1">
      <alignment horizontal="left"/>
    </xf>
    <xf numFmtId="3" fontId="0" fillId="0" borderId="39" xfId="0" applyNumberFormat="1" applyFont="1" applyFill="1" applyBorder="1" applyAlignment="1"/>
    <xf numFmtId="3" fontId="0" fillId="0" borderId="38" xfId="0" applyNumberFormat="1" applyFont="1" applyFill="1" applyBorder="1" applyAlignment="1"/>
    <xf numFmtId="41" fontId="16" fillId="0" borderId="38" xfId="0" applyNumberFormat="1" applyFont="1" applyFill="1" applyBorder="1" applyAlignment="1">
      <alignment wrapText="1"/>
    </xf>
    <xf numFmtId="3" fontId="16" fillId="0" borderId="38" xfId="0" applyNumberFormat="1" applyFont="1" applyFill="1" applyBorder="1" applyAlignment="1">
      <alignment wrapText="1"/>
    </xf>
    <xf numFmtId="0" fontId="0" fillId="0" borderId="36" xfId="0" applyFont="1" applyFill="1" applyBorder="1" applyAlignment="1">
      <alignment horizontal="left"/>
    </xf>
    <xf numFmtId="41" fontId="0" fillId="0" borderId="0" xfId="0" applyNumberFormat="1" applyFont="1" applyFill="1" applyBorder="1" applyAlignment="1"/>
    <xf numFmtId="0" fontId="34" fillId="0" borderId="36" xfId="0" applyFont="1" applyFill="1" applyBorder="1" applyAlignment="1">
      <alignment horizontal="left" wrapText="1"/>
    </xf>
    <xf numFmtId="0" fontId="0" fillId="0" borderId="51" xfId="0" applyFont="1" applyFill="1" applyBorder="1" applyAlignment="1">
      <alignment horizontal="left" wrapText="1"/>
    </xf>
    <xf numFmtId="41" fontId="0" fillId="0" borderId="52" xfId="0" applyNumberFormat="1" applyFont="1" applyFill="1" applyBorder="1" applyAlignment="1"/>
    <xf numFmtId="0" fontId="23" fillId="0" borderId="54" xfId="0" applyFont="1" applyFill="1" applyBorder="1"/>
    <xf numFmtId="0" fontId="16" fillId="0" borderId="55" xfId="0" applyFont="1" applyFill="1" applyBorder="1" applyAlignment="1">
      <alignment horizontal="center" wrapText="1"/>
    </xf>
    <xf numFmtId="3" fontId="16" fillId="0" borderId="39" xfId="0" applyNumberFormat="1" applyFont="1" applyFill="1" applyBorder="1" applyAlignment="1"/>
    <xf numFmtId="3" fontId="16" fillId="0" borderId="39" xfId="0" applyNumberFormat="1" applyFont="1" applyFill="1" applyBorder="1" applyAlignment="1">
      <alignment wrapText="1"/>
    </xf>
    <xf numFmtId="0" fontId="31" fillId="0" borderId="37" xfId="0" applyFont="1" applyFill="1" applyBorder="1" applyAlignment="1"/>
    <xf numFmtId="0" fontId="16" fillId="0" borderId="58" xfId="0" applyFont="1" applyFill="1" applyBorder="1" applyAlignment="1">
      <alignment horizontal="center" vertical="top" wrapText="1"/>
    </xf>
    <xf numFmtId="0" fontId="16" fillId="0" borderId="24" xfId="0" applyFont="1" applyFill="1" applyBorder="1" applyAlignment="1">
      <alignment horizontal="center" vertical="top" wrapText="1"/>
    </xf>
    <xf numFmtId="0" fontId="16" fillId="0" borderId="18" xfId="0" applyFont="1" applyFill="1" applyBorder="1" applyAlignment="1">
      <alignment horizontal="center" vertical="top" wrapText="1"/>
    </xf>
    <xf numFmtId="178" fontId="16" fillId="0" borderId="18" xfId="0" applyNumberFormat="1" applyFont="1" applyFill="1" applyBorder="1" applyAlignment="1">
      <alignment vertical="top" wrapText="1"/>
    </xf>
    <xf numFmtId="178" fontId="15" fillId="0" borderId="18" xfId="0" applyNumberFormat="1" applyFont="1" applyFill="1" applyBorder="1" applyAlignment="1">
      <alignment vertical="top" wrapText="1"/>
    </xf>
    <xf numFmtId="178" fontId="15" fillId="0" borderId="24" xfId="0" applyNumberFormat="1" applyFont="1" applyFill="1" applyBorder="1" applyAlignment="1">
      <alignment vertical="top" wrapText="1"/>
    </xf>
    <xf numFmtId="0" fontId="0" fillId="0" borderId="0" xfId="0" applyAlignment="1">
      <alignment horizontal="center"/>
    </xf>
    <xf numFmtId="0" fontId="13" fillId="0" borderId="0" xfId="0" applyFont="1" applyFill="1" applyBorder="1" applyAlignment="1">
      <alignment horizontal="center"/>
    </xf>
    <xf numFmtId="0" fontId="13" fillId="0" borderId="21" xfId="0" applyFont="1" applyBorder="1" applyAlignment="1">
      <alignment horizontal="center"/>
    </xf>
    <xf numFmtId="0" fontId="13" fillId="0" borderId="18" xfId="0" applyFont="1" applyBorder="1" applyAlignment="1">
      <alignment horizontal="center"/>
    </xf>
    <xf numFmtId="0" fontId="6" fillId="0" borderId="14" xfId="0" applyFont="1" applyBorder="1"/>
    <xf numFmtId="0" fontId="6" fillId="0" borderId="16" xfId="0" applyFont="1" applyBorder="1"/>
    <xf numFmtId="0" fontId="11" fillId="0" borderId="16" xfId="0" applyFont="1" applyBorder="1" applyAlignment="1">
      <alignment horizontal="right"/>
    </xf>
    <xf numFmtId="0" fontId="11" fillId="0" borderId="15" xfId="0" applyFont="1" applyBorder="1" applyAlignment="1">
      <alignment horizontal="right"/>
    </xf>
    <xf numFmtId="0" fontId="6" fillId="0" borderId="0" xfId="0" applyFont="1" applyBorder="1"/>
    <xf numFmtId="0" fontId="11" fillId="0" borderId="0" xfId="0" applyFont="1" applyBorder="1" applyAlignment="1">
      <alignment horizontal="right"/>
    </xf>
    <xf numFmtId="0" fontId="11" fillId="0" borderId="18" xfId="0" applyFont="1" applyBorder="1" applyAlignment="1">
      <alignment horizontal="right"/>
    </xf>
    <xf numFmtId="0" fontId="11" fillId="0" borderId="21" xfId="0" applyFont="1" applyBorder="1"/>
    <xf numFmtId="0" fontId="6" fillId="0" borderId="18" xfId="0" applyFont="1" applyBorder="1"/>
    <xf numFmtId="3" fontId="6" fillId="0" borderId="0" xfId="0" applyNumberFormat="1" applyFont="1" applyBorder="1"/>
    <xf numFmtId="3" fontId="6" fillId="0" borderId="18" xfId="0" applyNumberFormat="1" applyFont="1" applyBorder="1"/>
    <xf numFmtId="175" fontId="6" fillId="0" borderId="0" xfId="0" applyNumberFormat="1" applyFont="1" applyBorder="1"/>
    <xf numFmtId="175" fontId="6" fillId="0" borderId="18" xfId="0" applyNumberFormat="1" applyFont="1" applyBorder="1"/>
    <xf numFmtId="169" fontId="6" fillId="0" borderId="0" xfId="1" applyNumberFormat="1" applyFont="1" applyBorder="1"/>
    <xf numFmtId="169" fontId="6" fillId="0" borderId="18" xfId="1" applyNumberFormat="1" applyFont="1" applyBorder="1"/>
    <xf numFmtId="3" fontId="1" fillId="0" borderId="0" xfId="3" applyNumberFormat="1"/>
    <xf numFmtId="0" fontId="6" fillId="0" borderId="23" xfId="0" applyFont="1" applyBorder="1"/>
    <xf numFmtId="0" fontId="6" fillId="0" borderId="8" xfId="0" applyFont="1" applyBorder="1"/>
    <xf numFmtId="175" fontId="6" fillId="0" borderId="8" xfId="0" applyNumberFormat="1" applyFont="1" applyBorder="1"/>
    <xf numFmtId="175" fontId="6" fillId="0" borderId="24" xfId="0" applyNumberFormat="1" applyFont="1" applyBorder="1"/>
    <xf numFmtId="0" fontId="13" fillId="0" borderId="20" xfId="0" applyFont="1" applyBorder="1" applyAlignment="1">
      <alignment horizontal="center"/>
    </xf>
    <xf numFmtId="0" fontId="13" fillId="0" borderId="14" xfId="0" applyFont="1" applyBorder="1" applyAlignment="1">
      <alignment horizontal="center"/>
    </xf>
    <xf numFmtId="0" fontId="13" fillId="0" borderId="16" xfId="0" applyFont="1" applyBorder="1" applyAlignment="1">
      <alignment horizontal="center"/>
    </xf>
    <xf numFmtId="0" fontId="13" fillId="0" borderId="15" xfId="0" applyFont="1" applyBorder="1" applyAlignment="1">
      <alignment horizontal="center"/>
    </xf>
    <xf numFmtId="0" fontId="1" fillId="0" borderId="0" xfId="8"/>
    <xf numFmtId="0" fontId="12" fillId="0" borderId="17" xfId="0" applyFont="1" applyBorder="1" applyAlignment="1">
      <alignment horizontal="center"/>
    </xf>
    <xf numFmtId="169" fontId="12" fillId="0" borderId="21" xfId="1" applyNumberFormat="1" applyFont="1" applyBorder="1"/>
    <xf numFmtId="169" fontId="12" fillId="0" borderId="0" xfId="1" applyNumberFormat="1" applyFont="1" applyBorder="1"/>
    <xf numFmtId="169" fontId="12" fillId="0" borderId="18" xfId="1" applyNumberFormat="1" applyFont="1" applyBorder="1"/>
    <xf numFmtId="0" fontId="13" fillId="0" borderId="17" xfId="0" applyFont="1" applyBorder="1" applyAlignment="1">
      <alignment horizontal="center"/>
    </xf>
    <xf numFmtId="3" fontId="1" fillId="0" borderId="0" xfId="8" applyNumberFormat="1"/>
    <xf numFmtId="169" fontId="0" fillId="0" borderId="0" xfId="0" applyNumberFormat="1"/>
    <xf numFmtId="0" fontId="13" fillId="0" borderId="22" xfId="0" applyFont="1" applyBorder="1" applyAlignment="1">
      <alignment horizontal="center"/>
    </xf>
    <xf numFmtId="169" fontId="12" fillId="0" borderId="23" xfId="1" applyNumberFormat="1" applyFont="1" applyBorder="1"/>
    <xf numFmtId="169" fontId="12" fillId="0" borderId="8" xfId="1" applyNumberFormat="1" applyFont="1" applyBorder="1"/>
    <xf numFmtId="169" fontId="12" fillId="0" borderId="24" xfId="1" applyNumberFormat="1" applyFont="1" applyBorder="1"/>
    <xf numFmtId="0" fontId="12" fillId="0" borderId="0" xfId="0" applyFont="1" applyBorder="1" applyAlignment="1">
      <alignment horizontal="center"/>
    </xf>
    <xf numFmtId="175" fontId="12" fillId="0" borderId="21" xfId="7" applyNumberFormat="1" applyFont="1" applyBorder="1"/>
    <xf numFmtId="175" fontId="12" fillId="0" borderId="0" xfId="7" applyNumberFormat="1" applyFont="1" applyBorder="1"/>
    <xf numFmtId="175" fontId="12" fillId="0" borderId="18" xfId="7" applyNumberFormat="1" applyFont="1" applyBorder="1"/>
    <xf numFmtId="0" fontId="13" fillId="0" borderId="17" xfId="0" applyFont="1" applyFill="1" applyBorder="1" applyAlignment="1">
      <alignment horizontal="center"/>
    </xf>
    <xf numFmtId="175" fontId="12" fillId="0" borderId="0" xfId="7" applyNumberFormat="1" applyFont="1" applyFill="1" applyBorder="1"/>
    <xf numFmtId="175" fontId="12" fillId="0" borderId="18" xfId="7" applyNumberFormat="1" applyFont="1" applyFill="1" applyBorder="1"/>
    <xf numFmtId="175" fontId="12" fillId="0" borderId="21" xfId="7" applyNumberFormat="1" applyFont="1" applyFill="1" applyBorder="1"/>
    <xf numFmtId="175" fontId="12" fillId="0" borderId="21" xfId="1" applyNumberFormat="1" applyFont="1" applyBorder="1"/>
    <xf numFmtId="175" fontId="12" fillId="0" borderId="0" xfId="1" applyNumberFormat="1" applyFont="1" applyBorder="1"/>
    <xf numFmtId="175" fontId="12" fillId="0" borderId="18" xfId="1" applyNumberFormat="1" applyFont="1" applyBorder="1"/>
    <xf numFmtId="175" fontId="12" fillId="0" borderId="21" xfId="1" applyNumberFormat="1" applyFont="1" applyFill="1" applyBorder="1"/>
    <xf numFmtId="175" fontId="12" fillId="0" borderId="0" xfId="1" applyNumberFormat="1" applyFont="1" applyFill="1" applyBorder="1"/>
    <xf numFmtId="175" fontId="12" fillId="0" borderId="18" xfId="1" applyNumberFormat="1" applyFont="1" applyFill="1" applyBorder="1"/>
    <xf numFmtId="0" fontId="13" fillId="0" borderId="22" xfId="0" applyFont="1" applyFill="1" applyBorder="1" applyAlignment="1">
      <alignment horizontal="center"/>
    </xf>
    <xf numFmtId="175" fontId="12" fillId="0" borderId="23" xfId="1" applyNumberFormat="1" applyFont="1" applyFill="1" applyBorder="1"/>
    <xf numFmtId="175" fontId="12" fillId="0" borderId="8" xfId="1" applyNumberFormat="1" applyFont="1" applyFill="1" applyBorder="1"/>
    <xf numFmtId="175" fontId="12" fillId="0" borderId="24" xfId="1" applyNumberFormat="1" applyFont="1" applyFill="1" applyBorder="1"/>
    <xf numFmtId="0" fontId="13" fillId="0" borderId="0" xfId="0" quotePrefix="1" applyFont="1" applyAlignment="1">
      <alignment horizontal="center"/>
    </xf>
    <xf numFmtId="0" fontId="13" fillId="0" borderId="8" xfId="0" applyFont="1" applyBorder="1" applyAlignment="1">
      <alignment horizontal="center"/>
    </xf>
    <xf numFmtId="0" fontId="12" fillId="0" borderId="12" xfId="0" applyFont="1" applyBorder="1"/>
    <xf numFmtId="0" fontId="13" fillId="0" borderId="19" xfId="0" applyFont="1" applyBorder="1" applyAlignment="1">
      <alignment horizontal="center"/>
    </xf>
    <xf numFmtId="0" fontId="13" fillId="0" borderId="62" xfId="0" applyFont="1" applyBorder="1" applyAlignment="1">
      <alignment horizontal="center"/>
    </xf>
    <xf numFmtId="0" fontId="13" fillId="0" borderId="63" xfId="0" applyFont="1" applyBorder="1" applyAlignment="1">
      <alignment horizontal="center"/>
    </xf>
    <xf numFmtId="169" fontId="12" fillId="0" borderId="64" xfId="1" applyNumberFormat="1" applyFont="1" applyBorder="1"/>
    <xf numFmtId="164" fontId="12" fillId="0" borderId="18" xfId="2" applyNumberFormat="1" applyFont="1" applyBorder="1" applyAlignment="1">
      <alignment horizontal="right"/>
    </xf>
    <xf numFmtId="164" fontId="12" fillId="0" borderId="0" xfId="2" applyNumberFormat="1" applyFont="1" applyBorder="1" applyAlignment="1">
      <alignment horizontal="right"/>
    </xf>
    <xf numFmtId="164" fontId="12" fillId="0" borderId="65" xfId="2" applyNumberFormat="1" applyFont="1" applyBorder="1" applyAlignment="1">
      <alignment horizontal="right"/>
    </xf>
    <xf numFmtId="169" fontId="12" fillId="0" borderId="66" xfId="1" applyNumberFormat="1" applyFont="1" applyBorder="1"/>
    <xf numFmtId="0" fontId="1" fillId="0" borderId="0" xfId="6"/>
    <xf numFmtId="9" fontId="1" fillId="0" borderId="0" xfId="6" applyNumberFormat="1"/>
    <xf numFmtId="3" fontId="1" fillId="0" borderId="0" xfId="6" applyNumberFormat="1"/>
    <xf numFmtId="164" fontId="12" fillId="0" borderId="63" xfId="2" applyNumberFormat="1" applyFont="1" applyBorder="1" applyAlignment="1">
      <alignment horizontal="right"/>
    </xf>
    <xf numFmtId="169" fontId="12" fillId="0" borderId="67" xfId="1" applyNumberFormat="1" applyFont="1" applyBorder="1"/>
    <xf numFmtId="3" fontId="12" fillId="0" borderId="0" xfId="0" applyNumberFormat="1" applyFont="1" applyBorder="1"/>
    <xf numFmtId="164" fontId="12" fillId="0" borderId="0" xfId="2" applyNumberFormat="1" applyFont="1" applyBorder="1"/>
    <xf numFmtId="5" fontId="12" fillId="0" borderId="64" xfId="1" applyNumberFormat="1" applyFont="1" applyBorder="1"/>
    <xf numFmtId="5" fontId="12" fillId="0" borderId="0" xfId="1" applyNumberFormat="1" applyFont="1" applyBorder="1"/>
    <xf numFmtId="5" fontId="12" fillId="0" borderId="21" xfId="1" applyNumberFormat="1" applyFont="1" applyBorder="1"/>
    <xf numFmtId="5" fontId="12" fillId="0" borderId="68" xfId="1" applyNumberFormat="1" applyFont="1" applyBorder="1"/>
    <xf numFmtId="0" fontId="13" fillId="0" borderId="0" xfId="0" applyFont="1" applyFill="1" applyBorder="1" applyAlignment="1">
      <alignment horizontal="center"/>
    </xf>
    <xf numFmtId="0" fontId="13" fillId="0" borderId="0" xfId="0" applyFont="1" applyBorder="1" applyAlignment="1">
      <alignment horizontal="center"/>
    </xf>
    <xf numFmtId="0" fontId="13" fillId="0" borderId="8" xfId="0" applyFont="1" applyBorder="1" applyAlignment="1">
      <alignment horizontal="center"/>
    </xf>
    <xf numFmtId="0" fontId="36" fillId="4" borderId="0" xfId="0" applyFont="1" applyFill="1" applyAlignment="1">
      <alignment horizontal="center"/>
    </xf>
    <xf numFmtId="0" fontId="13" fillId="4" borderId="69" xfId="0" applyFont="1" applyFill="1" applyBorder="1" applyAlignment="1">
      <alignment horizontal="center"/>
    </xf>
    <xf numFmtId="169" fontId="13" fillId="4" borderId="76" xfId="1" applyNumberFormat="1" applyFont="1" applyFill="1" applyBorder="1" applyAlignment="1">
      <alignment horizontal="center"/>
    </xf>
    <xf numFmtId="169" fontId="13" fillId="4" borderId="77" xfId="1" applyNumberFormat="1" applyFont="1" applyFill="1" applyBorder="1" applyAlignment="1">
      <alignment horizontal="center"/>
    </xf>
    <xf numFmtId="169" fontId="13" fillId="4" borderId="75" xfId="1" applyNumberFormat="1" applyFont="1" applyFill="1" applyBorder="1" applyAlignment="1">
      <alignment horizontal="center"/>
    </xf>
    <xf numFmtId="0" fontId="13" fillId="4" borderId="69" xfId="0" applyFont="1" applyFill="1" applyBorder="1"/>
    <xf numFmtId="0" fontId="12" fillId="4" borderId="78" xfId="0" applyFont="1" applyFill="1" applyBorder="1"/>
    <xf numFmtId="169" fontId="6" fillId="4" borderId="17" xfId="1" applyNumberFormat="1" applyFont="1" applyFill="1" applyBorder="1"/>
    <xf numFmtId="169" fontId="6" fillId="4" borderId="79" xfId="1" applyNumberFormat="1" applyFont="1" applyFill="1" applyBorder="1"/>
    <xf numFmtId="169" fontId="6" fillId="4" borderId="80" xfId="1" applyNumberFormat="1" applyFont="1" applyFill="1" applyBorder="1"/>
    <xf numFmtId="0" fontId="13" fillId="4" borderId="81" xfId="0" applyFont="1" applyFill="1" applyBorder="1"/>
    <xf numFmtId="49" fontId="12" fillId="4" borderId="78" xfId="0" applyNumberFormat="1" applyFont="1" applyFill="1" applyBorder="1" applyAlignment="1">
      <alignment horizontal="center"/>
    </xf>
    <xf numFmtId="169" fontId="6" fillId="4" borderId="18" xfId="1" applyNumberFormat="1" applyFont="1" applyFill="1" applyBorder="1"/>
    <xf numFmtId="5" fontId="6" fillId="4" borderId="82" xfId="1" applyNumberFormat="1" applyFont="1" applyFill="1" applyBorder="1"/>
    <xf numFmtId="5" fontId="6" fillId="4" borderId="80" xfId="1" applyNumberFormat="1" applyFont="1" applyFill="1" applyBorder="1"/>
    <xf numFmtId="0" fontId="12" fillId="4" borderId="81" xfId="0" applyFont="1" applyFill="1" applyBorder="1"/>
    <xf numFmtId="49" fontId="13" fillId="4" borderId="83" xfId="0" applyNumberFormat="1" applyFont="1" applyFill="1" applyBorder="1"/>
    <xf numFmtId="169" fontId="11" fillId="4" borderId="84" xfId="1" applyNumberFormat="1" applyFont="1" applyFill="1" applyBorder="1"/>
    <xf numFmtId="5" fontId="11" fillId="4" borderId="85" xfId="1" applyNumberFormat="1" applyFont="1" applyFill="1" applyBorder="1"/>
    <xf numFmtId="5" fontId="11" fillId="4" borderId="86" xfId="1" applyNumberFormat="1" applyFont="1" applyFill="1" applyBorder="1"/>
    <xf numFmtId="49" fontId="12" fillId="4" borderId="78" xfId="0" applyNumberFormat="1" applyFont="1" applyFill="1" applyBorder="1"/>
    <xf numFmtId="49" fontId="13" fillId="4" borderId="78" xfId="0" applyNumberFormat="1" applyFont="1" applyFill="1" applyBorder="1"/>
    <xf numFmtId="0" fontId="13" fillId="4" borderId="87" xfId="0" applyFont="1" applyFill="1" applyBorder="1"/>
    <xf numFmtId="49" fontId="13" fillId="4" borderId="83" xfId="0" applyNumberFormat="1" applyFont="1" applyFill="1" applyBorder="1" applyAlignment="1">
      <alignment horizontal="right"/>
    </xf>
    <xf numFmtId="169" fontId="11" fillId="4" borderId="84" xfId="0" applyNumberFormat="1" applyFont="1" applyFill="1" applyBorder="1"/>
    <xf numFmtId="0" fontId="12" fillId="4" borderId="88" xfId="0" applyFont="1" applyFill="1" applyBorder="1"/>
    <xf numFmtId="49" fontId="12" fillId="4" borderId="89" xfId="0" applyNumberFormat="1" applyFont="1" applyFill="1" applyBorder="1" applyAlignment="1">
      <alignment horizontal="center"/>
    </xf>
    <xf numFmtId="169" fontId="6" fillId="4" borderId="90" xfId="1" applyNumberFormat="1" applyFont="1" applyFill="1" applyBorder="1"/>
    <xf numFmtId="169" fontId="6" fillId="4" borderId="91" xfId="1" applyNumberFormat="1" applyFont="1" applyFill="1" applyBorder="1"/>
    <xf numFmtId="169" fontId="6" fillId="4" borderId="76" xfId="1" applyNumberFormat="1" applyFont="1" applyFill="1" applyBorder="1"/>
    <xf numFmtId="169" fontId="6" fillId="4" borderId="77" xfId="1" applyNumberFormat="1" applyFont="1" applyFill="1" applyBorder="1"/>
    <xf numFmtId="169" fontId="6" fillId="4" borderId="75" xfId="1" applyNumberFormat="1" applyFont="1" applyFill="1" applyBorder="1"/>
    <xf numFmtId="0" fontId="0" fillId="4" borderId="0" xfId="0" applyFill="1"/>
    <xf numFmtId="169" fontId="0" fillId="4" borderId="0" xfId="0" applyNumberFormat="1" applyFill="1"/>
    <xf numFmtId="0" fontId="7" fillId="4" borderId="69" xfId="0" applyFont="1" applyFill="1" applyBorder="1"/>
    <xf numFmtId="0" fontId="3" fillId="4" borderId="78" xfId="0" applyFont="1" applyFill="1" applyBorder="1"/>
    <xf numFmtId="169" fontId="3" fillId="4" borderId="17" xfId="1" applyNumberFormat="1" applyFont="1" applyFill="1" applyBorder="1"/>
    <xf numFmtId="169" fontId="3" fillId="4" borderId="79" xfId="1" applyNumberFormat="1" applyFont="1" applyFill="1" applyBorder="1"/>
    <xf numFmtId="169" fontId="3" fillId="4" borderId="78" xfId="1" applyNumberFormat="1" applyFont="1" applyFill="1" applyBorder="1"/>
    <xf numFmtId="0" fontId="4" fillId="0" borderId="0" xfId="0" applyFont="1" applyFill="1"/>
    <xf numFmtId="0" fontId="0" fillId="0" borderId="19" xfId="0" applyBorder="1"/>
    <xf numFmtId="0" fontId="0" fillId="0" borderId="25" xfId="0" applyBorder="1"/>
    <xf numFmtId="0" fontId="0" fillId="0" borderId="13" xfId="0" applyBorder="1"/>
    <xf numFmtId="0" fontId="13" fillId="6" borderId="12" xfId="0" applyFont="1" applyFill="1" applyBorder="1" applyAlignment="1">
      <alignment horizontal="center"/>
    </xf>
    <xf numFmtId="0" fontId="13" fillId="6" borderId="17" xfId="0" applyFont="1" applyFill="1" applyBorder="1" applyAlignment="1">
      <alignment horizontal="center"/>
    </xf>
    <xf numFmtId="14" fontId="13" fillId="0" borderId="20" xfId="0" applyNumberFormat="1" applyFont="1" applyBorder="1" applyAlignment="1">
      <alignment horizontal="center"/>
    </xf>
    <xf numFmtId="14" fontId="13" fillId="0" borderId="20" xfId="0" applyNumberFormat="1" applyFont="1" applyFill="1" applyBorder="1" applyAlignment="1">
      <alignment horizontal="center"/>
    </xf>
    <xf numFmtId="169" fontId="12" fillId="0" borderId="17" xfId="1" applyNumberFormat="1" applyFont="1" applyFill="1" applyBorder="1"/>
    <xf numFmtId="169" fontId="12" fillId="0" borderId="17" xfId="1" applyNumberFormat="1" applyFont="1" applyBorder="1"/>
    <xf numFmtId="179" fontId="12" fillId="6" borderId="17" xfId="7" applyNumberFormat="1" applyFont="1" applyFill="1" applyBorder="1"/>
    <xf numFmtId="178" fontId="12" fillId="0" borderId="12" xfId="7" applyNumberFormat="1" applyFont="1" applyBorder="1"/>
    <xf numFmtId="10" fontId="12" fillId="0" borderId="12" xfId="2" applyNumberFormat="1" applyFont="1" applyFill="1" applyBorder="1"/>
    <xf numFmtId="178" fontId="12" fillId="0" borderId="17" xfId="7" applyNumberFormat="1" applyFont="1" applyBorder="1"/>
    <xf numFmtId="10" fontId="12" fillId="0" borderId="17" xfId="2" applyNumberFormat="1" applyFont="1" applyFill="1" applyBorder="1"/>
    <xf numFmtId="0" fontId="13" fillId="0" borderId="92" xfId="0" applyFont="1" applyBorder="1"/>
    <xf numFmtId="0" fontId="13" fillId="0" borderId="90" xfId="0" applyFont="1" applyBorder="1"/>
    <xf numFmtId="169" fontId="12" fillId="0" borderId="76" xfId="1" applyNumberFormat="1" applyFont="1" applyBorder="1"/>
    <xf numFmtId="179" fontId="12" fillId="6" borderId="76" xfId="7" applyNumberFormat="1" applyFont="1" applyFill="1" applyBorder="1"/>
    <xf numFmtId="178" fontId="12" fillId="0" borderId="76" xfId="7" applyNumberFormat="1" applyFont="1" applyBorder="1"/>
    <xf numFmtId="10" fontId="12" fillId="0" borderId="76" xfId="2" applyNumberFormat="1" applyFont="1" applyFill="1" applyBorder="1"/>
    <xf numFmtId="0" fontId="13" fillId="0" borderId="93" xfId="0" applyFont="1" applyBorder="1"/>
    <xf numFmtId="169" fontId="13" fillId="0" borderId="92" xfId="1" applyNumberFormat="1" applyFont="1" applyBorder="1"/>
    <xf numFmtId="169" fontId="13" fillId="0" borderId="93" xfId="1" applyNumberFormat="1" applyFont="1" applyBorder="1"/>
    <xf numFmtId="179" fontId="13" fillId="6" borderId="76" xfId="7" applyNumberFormat="1" applyFont="1" applyFill="1" applyBorder="1"/>
    <xf numFmtId="178" fontId="13" fillId="0" borderId="76" xfId="7" applyNumberFormat="1" applyFont="1" applyBorder="1"/>
    <xf numFmtId="10" fontId="13" fillId="0" borderId="76" xfId="2" applyNumberFormat="1" applyFont="1" applyFill="1" applyBorder="1"/>
    <xf numFmtId="10" fontId="13" fillId="0" borderId="90" xfId="2" applyNumberFormat="1" applyFont="1" applyFill="1" applyBorder="1"/>
    <xf numFmtId="10" fontId="13" fillId="6" borderId="17" xfId="2" applyNumberFormat="1" applyFont="1" applyFill="1" applyBorder="1"/>
    <xf numFmtId="10" fontId="13" fillId="0" borderId="17" xfId="2" applyNumberFormat="1" applyFont="1" applyFill="1" applyBorder="1" applyAlignment="1">
      <alignment horizontal="right"/>
    </xf>
    <xf numFmtId="10" fontId="13" fillId="0" borderId="18" xfId="2" applyNumberFormat="1" applyFont="1" applyFill="1" applyBorder="1" applyAlignment="1">
      <alignment horizontal="right"/>
    </xf>
    <xf numFmtId="10" fontId="13" fillId="7" borderId="17" xfId="2" applyNumberFormat="1" applyFont="1" applyFill="1" applyBorder="1" applyAlignment="1">
      <alignment horizontal="right"/>
    </xf>
    <xf numFmtId="10" fontId="13" fillId="7" borderId="18" xfId="2" applyNumberFormat="1" applyFont="1" applyFill="1" applyBorder="1" applyAlignment="1">
      <alignment horizontal="right"/>
    </xf>
    <xf numFmtId="0" fontId="13" fillId="7" borderId="23" xfId="0" applyFont="1" applyFill="1" applyBorder="1"/>
    <xf numFmtId="0" fontId="12" fillId="7" borderId="24" xfId="0" applyFont="1" applyFill="1" applyBorder="1"/>
    <xf numFmtId="0" fontId="12" fillId="7" borderId="8" xfId="0" applyFont="1" applyFill="1" applyBorder="1"/>
    <xf numFmtId="10" fontId="13" fillId="7" borderId="22" xfId="2" applyNumberFormat="1" applyFont="1" applyFill="1" applyBorder="1"/>
    <xf numFmtId="10" fontId="12" fillId="7" borderId="22" xfId="0" applyNumberFormat="1" applyFont="1" applyFill="1" applyBorder="1"/>
    <xf numFmtId="0" fontId="12" fillId="7" borderId="22" xfId="0" applyFont="1" applyFill="1" applyBorder="1"/>
    <xf numFmtId="10" fontId="12" fillId="0" borderId="22" xfId="0" applyNumberFormat="1" applyFont="1" applyFill="1" applyBorder="1"/>
    <xf numFmtId="0" fontId="12" fillId="0" borderId="22" xfId="0" applyFont="1" applyFill="1" applyBorder="1"/>
    <xf numFmtId="0" fontId="12" fillId="0" borderId="0" xfId="0" applyFont="1" applyFill="1"/>
    <xf numFmtId="14" fontId="13" fillId="0" borderId="20" xfId="0" applyNumberFormat="1" applyFont="1" applyBorder="1" applyAlignment="1">
      <alignment horizontal="right"/>
    </xf>
    <xf numFmtId="169" fontId="12" fillId="0" borderId="18" xfId="1" applyNumberFormat="1" applyFont="1" applyFill="1" applyBorder="1"/>
    <xf numFmtId="179" fontId="12" fillId="6" borderId="12" xfId="7" applyNumberFormat="1" applyFont="1" applyFill="1" applyBorder="1"/>
    <xf numFmtId="169" fontId="12" fillId="0" borderId="90" xfId="1" applyNumberFormat="1" applyFont="1" applyFill="1" applyBorder="1"/>
    <xf numFmtId="10" fontId="12" fillId="0" borderId="76" xfId="2" quotePrefix="1" applyNumberFormat="1" applyFont="1" applyFill="1" applyBorder="1"/>
    <xf numFmtId="0" fontId="13" fillId="0" borderId="94" xfId="0" applyFont="1" applyBorder="1"/>
    <xf numFmtId="0" fontId="13" fillId="0" borderId="95" xfId="0" applyFont="1" applyBorder="1"/>
    <xf numFmtId="169" fontId="13" fillId="0" borderId="94" xfId="1" applyNumberFormat="1" applyFont="1" applyFill="1" applyBorder="1"/>
    <xf numFmtId="169" fontId="13" fillId="0" borderId="96" xfId="1" applyNumberFormat="1" applyFont="1" applyFill="1" applyBorder="1"/>
    <xf numFmtId="169" fontId="13" fillId="0" borderId="95" xfId="1" applyNumberFormat="1" applyFont="1" applyBorder="1"/>
    <xf numFmtId="179" fontId="13" fillId="6" borderId="96" xfId="7" applyNumberFormat="1" applyFont="1" applyFill="1" applyBorder="1"/>
    <xf numFmtId="168" fontId="13" fillId="0" borderId="96" xfId="7" applyNumberFormat="1" applyFont="1" applyBorder="1"/>
    <xf numFmtId="168" fontId="13" fillId="0" borderId="97" xfId="7" applyNumberFormat="1" applyFont="1" applyBorder="1"/>
    <xf numFmtId="10" fontId="13" fillId="5" borderId="96" xfId="2" applyNumberFormat="1" applyFont="1" applyFill="1" applyBorder="1"/>
    <xf numFmtId="10" fontId="13" fillId="5" borderId="97" xfId="2" applyNumberFormat="1" applyFont="1" applyFill="1" applyBorder="1"/>
    <xf numFmtId="10" fontId="13" fillId="0" borderId="96" xfId="2" applyNumberFormat="1" applyFont="1" applyFill="1" applyBorder="1"/>
    <xf numFmtId="10" fontId="13" fillId="0" borderId="97" xfId="2" applyNumberFormat="1" applyFont="1" applyFill="1" applyBorder="1"/>
    <xf numFmtId="169" fontId="13" fillId="0" borderId="92" xfId="1" applyNumberFormat="1" applyFont="1" applyFill="1" applyBorder="1"/>
    <xf numFmtId="169" fontId="13" fillId="0" borderId="76" xfId="1" applyNumberFormat="1" applyFont="1" applyFill="1" applyBorder="1"/>
    <xf numFmtId="10" fontId="13" fillId="5" borderId="76" xfId="2" applyNumberFormat="1" applyFont="1" applyFill="1" applyBorder="1"/>
    <xf numFmtId="10" fontId="13" fillId="5" borderId="90" xfId="2" applyNumberFormat="1" applyFont="1" applyFill="1" applyBorder="1"/>
    <xf numFmtId="4" fontId="0" fillId="0" borderId="0" xfId="0" applyNumberFormat="1" applyFill="1"/>
    <xf numFmtId="179" fontId="12" fillId="6" borderId="19" xfId="7" applyNumberFormat="1" applyFont="1" applyFill="1" applyBorder="1"/>
    <xf numFmtId="4" fontId="12" fillId="0" borderId="12" xfId="7" applyNumberFormat="1" applyFont="1" applyFill="1" applyBorder="1" applyAlignment="1">
      <alignment horizontal="right"/>
    </xf>
    <xf numFmtId="179" fontId="12" fillId="6" borderId="21" xfId="7" applyNumberFormat="1" applyFont="1" applyFill="1" applyBorder="1"/>
    <xf numFmtId="4" fontId="12" fillId="0" borderId="17" xfId="7" applyNumberFormat="1" applyFont="1" applyFill="1" applyBorder="1" applyAlignment="1">
      <alignment horizontal="right"/>
    </xf>
    <xf numFmtId="179" fontId="12" fillId="6" borderId="92" xfId="7" applyNumberFormat="1" applyFont="1" applyFill="1" applyBorder="1"/>
    <xf numFmtId="4" fontId="12" fillId="0" borderId="76" xfId="7" applyNumberFormat="1" applyFont="1" applyFill="1" applyBorder="1" applyAlignment="1">
      <alignment horizontal="right"/>
    </xf>
    <xf numFmtId="2" fontId="13" fillId="0" borderId="96" xfId="7" applyNumberFormat="1" applyFont="1" applyFill="1" applyBorder="1"/>
    <xf numFmtId="2" fontId="13" fillId="0" borderId="97" xfId="7" applyNumberFormat="1" applyFont="1" applyFill="1" applyBorder="1"/>
    <xf numFmtId="0" fontId="13" fillId="7" borderId="21" xfId="0" applyFont="1" applyFill="1" applyBorder="1"/>
    <xf numFmtId="0" fontId="13" fillId="7" borderId="0" xfId="0" applyFont="1" applyFill="1" applyBorder="1"/>
    <xf numFmtId="10" fontId="13" fillId="7" borderId="17" xfId="2" applyNumberFormat="1" applyFont="1" applyFill="1" applyBorder="1"/>
    <xf numFmtId="0" fontId="12" fillId="0" borderId="0" xfId="0" applyFont="1" applyFill="1" applyBorder="1"/>
    <xf numFmtId="0" fontId="3" fillId="0" borderId="0" xfId="0" applyFont="1" applyFill="1" applyBorder="1"/>
    <xf numFmtId="0" fontId="3" fillId="0" borderId="0" xfId="0" applyFont="1" applyAlignment="1">
      <alignment horizontal="left"/>
    </xf>
    <xf numFmtId="0" fontId="12" fillId="0" borderId="17" xfId="0" applyFont="1" applyBorder="1"/>
    <xf numFmtId="0" fontId="13" fillId="0" borderId="82" xfId="0" applyFont="1" applyBorder="1" applyAlignment="1">
      <alignment horizontal="center"/>
    </xf>
    <xf numFmtId="0" fontId="13" fillId="0" borderId="100" xfId="0" applyFont="1" applyBorder="1" applyAlignment="1">
      <alignment horizontal="center"/>
    </xf>
    <xf numFmtId="0" fontId="12" fillId="0" borderId="22" xfId="0" applyFont="1" applyBorder="1"/>
    <xf numFmtId="0" fontId="12" fillId="0" borderId="22" xfId="0" applyFont="1" applyBorder="1" applyAlignment="1">
      <alignment horizontal="center"/>
    </xf>
    <xf numFmtId="0" fontId="3" fillId="0" borderId="101" xfId="0" applyFont="1" applyBorder="1" applyAlignment="1">
      <alignment horizontal="center"/>
    </xf>
    <xf numFmtId="0" fontId="13" fillId="0" borderId="102" xfId="0" applyFont="1" applyBorder="1" applyAlignment="1">
      <alignment horizontal="center"/>
    </xf>
    <xf numFmtId="0" fontId="3" fillId="0" borderId="24" xfId="0" applyFont="1" applyBorder="1" applyAlignment="1">
      <alignment horizontal="center"/>
    </xf>
    <xf numFmtId="0" fontId="13" fillId="0" borderId="17" xfId="0" applyFont="1" applyBorder="1"/>
    <xf numFmtId="0" fontId="13" fillId="0" borderId="79" xfId="0" applyFont="1" applyBorder="1"/>
    <xf numFmtId="0" fontId="13" fillId="0" borderId="81" xfId="0" applyFont="1" applyBorder="1"/>
    <xf numFmtId="0" fontId="13" fillId="0" borderId="82" xfId="0" applyFont="1" applyBorder="1"/>
    <xf numFmtId="0" fontId="13" fillId="0" borderId="100" xfId="0" applyFont="1" applyBorder="1"/>
    <xf numFmtId="0" fontId="12" fillId="0" borderId="17" xfId="0" quotePrefix="1" applyFont="1" applyBorder="1" applyAlignment="1">
      <alignment horizontal="left"/>
    </xf>
    <xf numFmtId="169" fontId="12" fillId="0" borderId="18" xfId="1" applyNumberFormat="1" applyFont="1" applyBorder="1" applyAlignment="1"/>
    <xf numFmtId="178" fontId="12" fillId="0" borderId="17" xfId="7" applyNumberFormat="1" applyFont="1" applyBorder="1" applyAlignment="1"/>
    <xf numFmtId="164" fontId="12" fillId="0" borderId="82" xfId="2" applyNumberFormat="1" applyFont="1" applyBorder="1"/>
    <xf numFmtId="169" fontId="12" fillId="0" borderId="100" xfId="1" applyNumberFormat="1" applyFont="1" applyBorder="1" applyAlignment="1"/>
    <xf numFmtId="164" fontId="12" fillId="0" borderId="18" xfId="2" applyNumberFormat="1" applyFont="1" applyBorder="1"/>
    <xf numFmtId="0" fontId="12" fillId="0" borderId="17" xfId="0" applyFont="1" applyBorder="1" applyAlignment="1"/>
    <xf numFmtId="169" fontId="12" fillId="0" borderId="0" xfId="1" applyNumberFormat="1" applyFont="1" applyBorder="1" applyAlignment="1"/>
    <xf numFmtId="168" fontId="12" fillId="0" borderId="17" xfId="7" applyNumberFormat="1" applyFont="1" applyBorder="1" applyAlignment="1"/>
    <xf numFmtId="164" fontId="12" fillId="0" borderId="79" xfId="2" applyNumberFormat="1" applyFont="1" applyBorder="1"/>
    <xf numFmtId="169" fontId="12" fillId="0" borderId="81" xfId="1" applyNumberFormat="1" applyFont="1" applyBorder="1" applyAlignment="1"/>
    <xf numFmtId="164" fontId="12" fillId="0" borderId="17" xfId="2" applyNumberFormat="1" applyFont="1" applyBorder="1"/>
    <xf numFmtId="0" fontId="0" fillId="0" borderId="0" xfId="0" applyBorder="1"/>
    <xf numFmtId="0" fontId="0" fillId="0" borderId="17" xfId="0" applyBorder="1"/>
    <xf numFmtId="0" fontId="0" fillId="0" borderId="79" xfId="0" applyBorder="1"/>
    <xf numFmtId="0" fontId="0" fillId="0" borderId="81" xfId="0" applyBorder="1"/>
    <xf numFmtId="164" fontId="12" fillId="0" borderId="82" xfId="2" applyNumberFormat="1" applyFont="1" applyFill="1" applyBorder="1"/>
    <xf numFmtId="164" fontId="12" fillId="0" borderId="79" xfId="2" applyNumberFormat="1" applyFont="1" applyFill="1" applyBorder="1"/>
    <xf numFmtId="164" fontId="12" fillId="0" borderId="18" xfId="2" applyNumberFormat="1" applyFont="1" applyFill="1" applyBorder="1"/>
    <xf numFmtId="0" fontId="12" fillId="0" borderId="17" xfId="0" applyFont="1" applyBorder="1" applyAlignment="1" applyProtection="1">
      <alignment horizontal="left"/>
    </xf>
    <xf numFmtId="0" fontId="12" fillId="0" borderId="17" xfId="0" quotePrefix="1" applyFont="1" applyBorder="1" applyAlignment="1" applyProtection="1">
      <alignment horizontal="left"/>
    </xf>
    <xf numFmtId="0" fontId="12" fillId="0" borderId="22" xfId="0" applyFont="1" applyBorder="1" applyAlignment="1" applyProtection="1">
      <alignment horizontal="left"/>
    </xf>
    <xf numFmtId="169" fontId="12" fillId="0" borderId="24" xfId="1" applyNumberFormat="1" applyFont="1" applyBorder="1" applyAlignment="1"/>
    <xf numFmtId="178" fontId="12" fillId="0" borderId="22" xfId="7" applyNumberFormat="1" applyFont="1" applyBorder="1" applyAlignment="1"/>
    <xf numFmtId="164" fontId="12" fillId="0" borderId="103" xfId="2" applyNumberFormat="1" applyFont="1" applyFill="1" applyBorder="1"/>
    <xf numFmtId="169" fontId="12" fillId="0" borderId="104" xfId="1" applyNumberFormat="1" applyFont="1" applyBorder="1" applyAlignment="1"/>
    <xf numFmtId="164" fontId="12" fillId="0" borderId="22" xfId="2" applyNumberFormat="1" applyFont="1" applyFill="1" applyBorder="1"/>
    <xf numFmtId="0" fontId="4" fillId="0" borderId="0" xfId="0" applyFont="1" applyAlignment="1" applyProtection="1">
      <alignment horizontal="center"/>
    </xf>
    <xf numFmtId="0" fontId="41" fillId="0" borderId="0" xfId="0" applyFont="1"/>
    <xf numFmtId="0" fontId="6" fillId="0" borderId="0" xfId="0" applyFont="1" applyAlignment="1" applyProtection="1">
      <alignment horizontal="center"/>
    </xf>
    <xf numFmtId="0" fontId="11" fillId="0" borderId="19" xfId="0" applyFont="1" applyBorder="1" applyAlignment="1" applyProtection="1">
      <alignment horizontal="center"/>
    </xf>
    <xf numFmtId="0" fontId="11" fillId="0" borderId="0" xfId="0" applyFont="1" applyBorder="1"/>
    <xf numFmtId="0" fontId="11" fillId="0" borderId="23" xfId="0" applyFont="1" applyBorder="1" applyAlignment="1" applyProtection="1">
      <alignment horizontal="center"/>
    </xf>
    <xf numFmtId="0" fontId="11" fillId="0" borderId="106" xfId="0" applyFont="1" applyBorder="1"/>
    <xf numFmtId="0" fontId="11" fillId="0" borderId="8" xfId="0" applyFont="1" applyBorder="1" applyAlignment="1" applyProtection="1">
      <alignment horizontal="center"/>
    </xf>
    <xf numFmtId="0" fontId="11" fillId="0" borderId="8" xfId="0" applyFont="1" applyBorder="1"/>
    <xf numFmtId="0" fontId="6" fillId="0" borderId="24" xfId="0" applyFont="1" applyBorder="1"/>
    <xf numFmtId="0" fontId="6" fillId="0" borderId="107" xfId="0" applyFont="1" applyBorder="1"/>
    <xf numFmtId="170" fontId="6" fillId="0" borderId="0" xfId="0" applyNumberFormat="1" applyFont="1" applyBorder="1" applyProtection="1"/>
    <xf numFmtId="0" fontId="11" fillId="0" borderId="108" xfId="0" applyFont="1" applyBorder="1" applyAlignment="1" applyProtection="1">
      <alignment horizontal="center"/>
    </xf>
    <xf numFmtId="0" fontId="11" fillId="0" borderId="108" xfId="0" quotePrefix="1" applyFont="1" applyBorder="1" applyAlignment="1" applyProtection="1">
      <alignment horizontal="center"/>
    </xf>
    <xf numFmtId="170" fontId="6" fillId="0" borderId="0" xfId="0" applyNumberFormat="1" applyFont="1" applyFill="1" applyBorder="1" applyProtection="1"/>
    <xf numFmtId="0" fontId="6" fillId="0" borderId="109" xfId="0" applyFont="1" applyBorder="1"/>
    <xf numFmtId="0" fontId="11" fillId="0" borderId="17" xfId="0" applyFont="1" applyBorder="1" applyAlignment="1" applyProtection="1">
      <alignment horizontal="center"/>
    </xf>
    <xf numFmtId="0" fontId="11" fillId="0" borderId="22" xfId="0" applyFont="1" applyBorder="1" applyAlignment="1" applyProtection="1">
      <alignment horizontal="center"/>
    </xf>
    <xf numFmtId="170" fontId="6" fillId="0" borderId="8" xfId="0" applyNumberFormat="1" applyFont="1" applyFill="1" applyBorder="1" applyProtection="1"/>
    <xf numFmtId="0" fontId="11" fillId="0" borderId="110" xfId="0" applyFont="1" applyBorder="1" applyAlignment="1" applyProtection="1">
      <alignment horizontal="center"/>
    </xf>
    <xf numFmtId="0" fontId="11" fillId="0" borderId="112" xfId="0" applyFont="1" applyBorder="1" applyAlignment="1" applyProtection="1">
      <alignment horizontal="center"/>
    </xf>
    <xf numFmtId="0" fontId="11" fillId="0" borderId="8" xfId="0" quotePrefix="1" applyFont="1" applyBorder="1" applyAlignment="1" applyProtection="1">
      <alignment horizontal="center"/>
    </xf>
    <xf numFmtId="0" fontId="11" fillId="0" borderId="113" xfId="0" applyFont="1" applyBorder="1"/>
    <xf numFmtId="0" fontId="6" fillId="0" borderId="108" xfId="0" applyFont="1" applyBorder="1"/>
    <xf numFmtId="170" fontId="6" fillId="0" borderId="0" xfId="0" applyNumberFormat="1" applyFont="1" applyProtection="1"/>
    <xf numFmtId="170" fontId="41" fillId="0" borderId="0" xfId="0" applyNumberFormat="1" applyFont="1" applyProtection="1"/>
    <xf numFmtId="0" fontId="11" fillId="0" borderId="108" xfId="0" applyFont="1" applyBorder="1" applyAlignment="1">
      <alignment horizontal="center"/>
    </xf>
    <xf numFmtId="174" fontId="6" fillId="0" borderId="0" xfId="1" applyNumberFormat="1" applyFont="1" applyBorder="1"/>
    <xf numFmtId="0" fontId="11" fillId="0" borderId="114" xfId="0" applyFont="1" applyBorder="1" applyAlignment="1">
      <alignment horizontal="center"/>
    </xf>
    <xf numFmtId="43" fontId="0" fillId="0" borderId="0" xfId="0" applyNumberFormat="1"/>
    <xf numFmtId="0" fontId="11" fillId="0" borderId="115" xfId="0" applyFont="1" applyBorder="1" applyAlignment="1">
      <alignment horizontal="center"/>
    </xf>
    <xf numFmtId="0" fontId="6" fillId="0" borderId="116" xfId="0" applyFont="1" applyBorder="1"/>
    <xf numFmtId="174" fontId="6" fillId="0" borderId="116" xfId="1" applyNumberFormat="1" applyFont="1" applyBorder="1"/>
    <xf numFmtId="0" fontId="6" fillId="0" borderId="117" xfId="0" applyFont="1" applyBorder="1"/>
    <xf numFmtId="180" fontId="0" fillId="0" borderId="0" xfId="0" applyNumberFormat="1"/>
    <xf numFmtId="0" fontId="12" fillId="0" borderId="0" xfId="0" quotePrefix="1" applyFont="1" applyAlignment="1" applyProtection="1">
      <alignment horizontal="left"/>
    </xf>
    <xf numFmtId="0" fontId="41" fillId="0" borderId="0" xfId="0" applyFont="1" applyBorder="1"/>
    <xf numFmtId="0" fontId="21" fillId="0" borderId="0" xfId="0" applyFont="1"/>
    <xf numFmtId="0" fontId="42" fillId="0" borderId="0" xfId="0" applyFont="1"/>
    <xf numFmtId="0" fontId="43" fillId="0" borderId="0" xfId="0" applyFont="1" applyAlignment="1" applyProtection="1">
      <alignment horizontal="left"/>
    </xf>
    <xf numFmtId="0" fontId="4" fillId="0" borderId="0" xfId="0" quotePrefix="1" applyFont="1" applyAlignment="1" applyProtection="1">
      <alignment horizontal="center"/>
    </xf>
    <xf numFmtId="0" fontId="6" fillId="0" borderId="0" xfId="0" applyFont="1" applyAlignment="1">
      <alignment horizontal="centerContinuous"/>
    </xf>
    <xf numFmtId="0" fontId="6" fillId="0" borderId="12" xfId="0" applyFont="1" applyBorder="1"/>
    <xf numFmtId="0" fontId="6" fillId="0" borderId="0" xfId="0" applyFont="1" applyBorder="1" applyAlignment="1">
      <alignment horizontal="centerContinuous"/>
    </xf>
    <xf numFmtId="0" fontId="11" fillId="0" borderId="8" xfId="0" applyFont="1" applyBorder="1" applyAlignment="1" applyProtection="1">
      <alignment horizontal="right"/>
    </xf>
    <xf numFmtId="0" fontId="11" fillId="0" borderId="24" xfId="0" applyFont="1" applyBorder="1"/>
    <xf numFmtId="0" fontId="6" fillId="0" borderId="17" xfId="0" applyFont="1" applyBorder="1"/>
    <xf numFmtId="174" fontId="12" fillId="0" borderId="0" xfId="1" applyNumberFormat="1" applyFont="1" applyBorder="1" applyAlignment="1" applyProtection="1">
      <alignment horizontal="right"/>
    </xf>
    <xf numFmtId="0" fontId="11" fillId="0" borderId="0" xfId="0" applyFont="1" applyBorder="1" applyAlignment="1" applyProtection="1">
      <alignment horizontal="center"/>
    </xf>
    <xf numFmtId="174" fontId="12" fillId="0" borderId="18" xfId="1" applyNumberFormat="1" applyFont="1" applyBorder="1" applyAlignment="1" applyProtection="1">
      <alignment horizontal="right"/>
    </xf>
    <xf numFmtId="170" fontId="3" fillId="0" borderId="0" xfId="0" quotePrefix="1" applyNumberFormat="1" applyFont="1" applyBorder="1" applyAlignment="1" applyProtection="1">
      <alignment horizontal="left"/>
    </xf>
    <xf numFmtId="174" fontId="12" fillId="0" borderId="0" xfId="1" applyNumberFormat="1" applyFont="1" applyFill="1" applyBorder="1" applyAlignment="1" applyProtection="1">
      <alignment horizontal="right"/>
    </xf>
    <xf numFmtId="0" fontId="0" fillId="0" borderId="18" xfId="0" applyBorder="1"/>
    <xf numFmtId="0" fontId="11" fillId="0" borderId="17" xfId="0" quotePrefix="1" applyFont="1" applyBorder="1" applyAlignment="1" applyProtection="1">
      <alignment horizontal="center"/>
    </xf>
    <xf numFmtId="170" fontId="12" fillId="0" borderId="0" xfId="0" applyNumberFormat="1" applyFont="1" applyBorder="1" applyProtection="1"/>
    <xf numFmtId="0" fontId="11" fillId="0" borderId="0" xfId="0" quotePrefix="1" applyFont="1" applyBorder="1" applyAlignment="1" applyProtection="1">
      <alignment horizontal="center"/>
    </xf>
    <xf numFmtId="43" fontId="12" fillId="0" borderId="0" xfId="1" quotePrefix="1" applyFont="1" applyBorder="1" applyAlignment="1" applyProtection="1">
      <alignment horizontal="left"/>
    </xf>
    <xf numFmtId="43" fontId="12" fillId="0" borderId="18" xfId="1" quotePrefix="1" applyFont="1" applyBorder="1" applyAlignment="1" applyProtection="1">
      <alignment horizontal="left"/>
    </xf>
    <xf numFmtId="167" fontId="3" fillId="0" borderId="0" xfId="0" quotePrefix="1" applyNumberFormat="1" applyFont="1" applyBorder="1" applyAlignment="1" applyProtection="1">
      <alignment horizontal="left"/>
    </xf>
    <xf numFmtId="170" fontId="12" fillId="0" borderId="21" xfId="0" applyNumberFormat="1" applyFont="1" applyBorder="1" applyProtection="1"/>
    <xf numFmtId="0" fontId="11" fillId="0" borderId="21" xfId="0" quotePrefix="1" applyFont="1" applyBorder="1" applyAlignment="1" applyProtection="1">
      <alignment horizontal="center"/>
    </xf>
    <xf numFmtId="0" fontId="11" fillId="0" borderId="23" xfId="0" quotePrefix="1" applyFont="1" applyBorder="1" applyAlignment="1" applyProtection="1">
      <alignment horizontal="center"/>
    </xf>
    <xf numFmtId="170" fontId="12" fillId="0" borderId="23" xfId="0" applyNumberFormat="1" applyFont="1" applyBorder="1" applyProtection="1"/>
    <xf numFmtId="170" fontId="12" fillId="0" borderId="8" xfId="0" applyNumberFormat="1" applyFont="1" applyBorder="1" applyProtection="1"/>
    <xf numFmtId="43" fontId="12" fillId="0" borderId="8" xfId="1" quotePrefix="1" applyFont="1" applyBorder="1" applyAlignment="1" applyProtection="1">
      <alignment horizontal="left"/>
    </xf>
    <xf numFmtId="43" fontId="12" fillId="0" borderId="24" xfId="1" quotePrefix="1" applyFont="1" applyBorder="1" applyAlignment="1" applyProtection="1">
      <alignment horizontal="left"/>
    </xf>
    <xf numFmtId="0" fontId="6" fillId="0" borderId="0" xfId="0" quotePrefix="1" applyFont="1" applyBorder="1" applyAlignment="1" applyProtection="1">
      <alignment horizontal="center"/>
    </xf>
    <xf numFmtId="43" fontId="3" fillId="0" borderId="0" xfId="1" quotePrefix="1" applyFont="1" applyBorder="1" applyAlignment="1" applyProtection="1">
      <alignment horizontal="left"/>
    </xf>
    <xf numFmtId="0" fontId="11" fillId="0" borderId="12" xfId="0" applyFont="1" applyBorder="1"/>
    <xf numFmtId="0" fontId="11" fillId="0" borderId="0" xfId="0" applyFont="1" applyBorder="1" applyAlignment="1">
      <alignment horizontal="centerContinuous"/>
    </xf>
    <xf numFmtId="174" fontId="12" fillId="0" borderId="21" xfId="1" applyNumberFormat="1" applyFont="1" applyBorder="1" applyAlignment="1" applyProtection="1">
      <alignment horizontal="right"/>
    </xf>
    <xf numFmtId="174" fontId="12" fillId="0" borderId="23" xfId="1" applyNumberFormat="1" applyFont="1" applyBorder="1" applyAlignment="1" applyProtection="1">
      <alignment horizontal="right"/>
    </xf>
    <xf numFmtId="174" fontId="12" fillId="0" borderId="24" xfId="1" applyNumberFormat="1" applyFont="1" applyBorder="1" applyAlignment="1" applyProtection="1">
      <alignment horizontal="right"/>
    </xf>
    <xf numFmtId="174" fontId="3" fillId="0" borderId="0" xfId="1" applyNumberFormat="1" applyFont="1" applyBorder="1" applyAlignment="1" applyProtection="1">
      <alignment horizontal="left"/>
    </xf>
    <xf numFmtId="0" fontId="6" fillId="0" borderId="0" xfId="0" applyFont="1" applyBorder="1" applyAlignment="1" applyProtection="1">
      <alignment horizontal="center"/>
    </xf>
    <xf numFmtId="0" fontId="44" fillId="0" borderId="0" xfId="0" applyFont="1"/>
    <xf numFmtId="0" fontId="45" fillId="0" borderId="0" xfId="0" applyFont="1"/>
    <xf numFmtId="0" fontId="11" fillId="0" borderId="0" xfId="0" applyFont="1" applyAlignment="1">
      <alignment horizontal="centerContinuous"/>
    </xf>
    <xf numFmtId="0" fontId="4" fillId="0" borderId="0" xfId="0" applyFont="1" applyAlignment="1">
      <alignment horizontal="centerContinuous"/>
    </xf>
    <xf numFmtId="0" fontId="46" fillId="0" borderId="0" xfId="0" applyFont="1"/>
    <xf numFmtId="0" fontId="11" fillId="0" borderId="119" xfId="0" applyFont="1" applyBorder="1" applyAlignment="1" applyProtection="1">
      <alignment horizontal="center"/>
    </xf>
    <xf numFmtId="0" fontId="47" fillId="0" borderId="0" xfId="0" applyFont="1"/>
    <xf numFmtId="0" fontId="11" fillId="0" borderId="106" xfId="0" applyFont="1" applyBorder="1" applyAlignment="1" applyProtection="1">
      <alignment horizontal="center"/>
    </xf>
    <xf numFmtId="170" fontId="0" fillId="0" borderId="0" xfId="0" applyNumberFormat="1" applyProtection="1"/>
    <xf numFmtId="10" fontId="0" fillId="0" borderId="0" xfId="0" applyNumberFormat="1" applyProtection="1"/>
    <xf numFmtId="174" fontId="6" fillId="0" borderId="0" xfId="1" applyNumberFormat="1" applyFont="1" applyBorder="1" applyAlignment="1" applyProtection="1">
      <alignment horizontal="center"/>
    </xf>
    <xf numFmtId="0" fontId="48" fillId="0" borderId="0" xfId="0" applyFont="1"/>
    <xf numFmtId="174" fontId="6" fillId="0" borderId="0" xfId="1" applyNumberFormat="1" applyFont="1" applyFill="1" applyBorder="1" applyAlignment="1" applyProtection="1">
      <alignment horizontal="center"/>
    </xf>
    <xf numFmtId="0" fontId="11" fillId="0" borderId="120" xfId="0" applyFont="1" applyBorder="1" applyAlignment="1">
      <alignment horizontal="center"/>
    </xf>
    <xf numFmtId="0" fontId="3" fillId="0" borderId="109" xfId="0" applyFont="1" applyBorder="1"/>
    <xf numFmtId="2" fontId="6" fillId="0" borderId="0" xfId="1" applyNumberFormat="1" applyFont="1" applyBorder="1"/>
    <xf numFmtId="0" fontId="11" fillId="0" borderId="17" xfId="0" applyFont="1" applyBorder="1" applyAlignment="1">
      <alignment horizontal="center"/>
    </xf>
    <xf numFmtId="0" fontId="3" fillId="0" borderId="18" xfId="0" applyFont="1" applyBorder="1"/>
    <xf numFmtId="0" fontId="11" fillId="0" borderId="22" xfId="0" applyFont="1" applyBorder="1" applyAlignment="1">
      <alignment horizontal="center"/>
    </xf>
    <xf numFmtId="174" fontId="6" fillId="0" borderId="8" xfId="1" applyNumberFormat="1" applyFont="1" applyBorder="1"/>
    <xf numFmtId="2" fontId="6" fillId="0" borderId="8" xfId="1" applyNumberFormat="1" applyFont="1" applyBorder="1"/>
    <xf numFmtId="0" fontId="3" fillId="0" borderId="24" xfId="0" applyFont="1" applyBorder="1"/>
    <xf numFmtId="0" fontId="49" fillId="0" borderId="0" xfId="0" applyFont="1"/>
    <xf numFmtId="170" fontId="49" fillId="0" borderId="0" xfId="0" applyNumberFormat="1" applyFont="1" applyProtection="1"/>
    <xf numFmtId="39" fontId="49" fillId="0" borderId="0" xfId="0" applyNumberFormat="1" applyFont="1" applyProtection="1"/>
    <xf numFmtId="10" fontId="49" fillId="0" borderId="0" xfId="0" applyNumberFormat="1" applyFont="1" applyProtection="1"/>
    <xf numFmtId="169" fontId="50" fillId="0" borderId="0" xfId="1" applyNumberFormat="1" applyFont="1" applyBorder="1" applyAlignment="1">
      <alignment vertical="center"/>
    </xf>
    <xf numFmtId="10" fontId="49" fillId="0" borderId="0" xfId="0" applyNumberFormat="1" applyFont="1" applyBorder="1" applyProtection="1"/>
    <xf numFmtId="3" fontId="0" fillId="0" borderId="0" xfId="0" applyNumberFormat="1" applyProtection="1"/>
    <xf numFmtId="181" fontId="49" fillId="0" borderId="0" xfId="0" applyNumberFormat="1" applyFont="1" applyProtection="1"/>
    <xf numFmtId="182" fontId="0" fillId="0" borderId="0" xfId="0" applyNumberFormat="1" applyProtection="1"/>
    <xf numFmtId="181" fontId="0" fillId="0" borderId="0" xfId="0" applyNumberFormat="1" applyProtection="1"/>
    <xf numFmtId="0" fontId="6" fillId="0" borderId="0" xfId="0" applyFont="1" applyAlignment="1" applyProtection="1">
      <alignment horizontal="centerContinuous"/>
    </xf>
    <xf numFmtId="0" fontId="11" fillId="0" borderId="0" xfId="0" applyFont="1" applyAlignment="1" applyProtection="1">
      <alignment horizontal="center"/>
    </xf>
    <xf numFmtId="0" fontId="13" fillId="0" borderId="0" xfId="0" applyFont="1" applyBorder="1" applyAlignment="1" applyProtection="1">
      <alignment horizontal="centerContinuous"/>
    </xf>
    <xf numFmtId="0" fontId="12" fillId="0" borderId="0" xfId="0" applyFont="1" applyBorder="1" applyAlignment="1">
      <alignment horizontal="centerContinuous"/>
    </xf>
    <xf numFmtId="0" fontId="12" fillId="0" borderId="0" xfId="0" applyFont="1" applyBorder="1" applyAlignment="1">
      <alignment vertical="center"/>
    </xf>
    <xf numFmtId="0" fontId="13" fillId="0" borderId="0" xfId="0" applyFont="1" applyBorder="1" applyAlignment="1" applyProtection="1">
      <alignment horizontal="center" vertical="center"/>
    </xf>
    <xf numFmtId="0" fontId="13" fillId="0" borderId="12" xfId="0" applyFont="1" applyBorder="1" applyAlignment="1" applyProtection="1">
      <alignment horizontal="center" vertical="center"/>
    </xf>
    <xf numFmtId="0" fontId="13" fillId="0" borderId="22" xfId="0" applyFont="1" applyBorder="1" applyAlignment="1" applyProtection="1">
      <alignment horizontal="center" vertical="center"/>
    </xf>
    <xf numFmtId="0" fontId="13" fillId="0" borderId="8" xfId="0" applyFont="1" applyBorder="1" applyAlignment="1" applyProtection="1">
      <alignment horizontal="center" vertical="center"/>
    </xf>
    <xf numFmtId="0" fontId="13" fillId="0" borderId="8" xfId="0" applyFont="1" applyBorder="1" applyAlignment="1" applyProtection="1">
      <alignment horizontal="right" vertical="center"/>
    </xf>
    <xf numFmtId="0" fontId="13" fillId="0" borderId="8" xfId="0" applyFont="1" applyBorder="1" applyAlignment="1">
      <alignment vertical="center"/>
    </xf>
    <xf numFmtId="0" fontId="13" fillId="0" borderId="15" xfId="0" applyFont="1" applyBorder="1" applyAlignment="1">
      <alignment vertical="center"/>
    </xf>
    <xf numFmtId="0" fontId="13" fillId="0" borderId="0" xfId="0" applyFont="1" applyBorder="1" applyAlignment="1">
      <alignment vertical="center"/>
    </xf>
    <xf numFmtId="0" fontId="12" fillId="0" borderId="0" xfId="0" applyFont="1" applyBorder="1" applyAlignment="1" applyProtection="1">
      <alignment horizontal="center"/>
    </xf>
    <xf numFmtId="0" fontId="13" fillId="0" borderId="17" xfId="0" applyFont="1" applyBorder="1" applyAlignment="1" applyProtection="1">
      <alignment horizontal="center"/>
    </xf>
    <xf numFmtId="164" fontId="12" fillId="0" borderId="0" xfId="2" applyNumberFormat="1" applyFont="1" applyAlignment="1" applyProtection="1">
      <alignment horizontal="right"/>
    </xf>
    <xf numFmtId="0" fontId="13" fillId="0" borderId="0" xfId="0" applyFont="1" applyBorder="1" applyAlignment="1" applyProtection="1">
      <alignment horizontal="center"/>
    </xf>
    <xf numFmtId="10" fontId="12" fillId="0" borderId="0" xfId="2" applyNumberFormat="1" applyFont="1" applyAlignment="1" applyProtection="1">
      <alignment horizontal="right"/>
    </xf>
    <xf numFmtId="10" fontId="12" fillId="0" borderId="18" xfId="2" applyNumberFormat="1" applyFont="1" applyBorder="1" applyAlignment="1" applyProtection="1">
      <alignment horizontal="right"/>
    </xf>
    <xf numFmtId="183" fontId="12" fillId="0" borderId="0" xfId="2" applyNumberFormat="1" applyFont="1" applyAlignment="1" applyProtection="1">
      <alignment horizontal="right"/>
    </xf>
    <xf numFmtId="183" fontId="0" fillId="0" borderId="0" xfId="0" applyNumberFormat="1"/>
    <xf numFmtId="183" fontId="12" fillId="0" borderId="0" xfId="2" applyNumberFormat="1" applyFont="1" applyBorder="1" applyAlignment="1" applyProtection="1">
      <alignment horizontal="right"/>
    </xf>
    <xf numFmtId="183" fontId="12" fillId="0" borderId="0" xfId="0" applyNumberFormat="1" applyFont="1" applyBorder="1"/>
    <xf numFmtId="183" fontId="12" fillId="0" borderId="0" xfId="2" applyNumberFormat="1" applyFont="1" applyBorder="1"/>
    <xf numFmtId="0" fontId="12" fillId="0" borderId="18" xfId="0" applyFont="1" applyBorder="1"/>
    <xf numFmtId="0" fontId="13" fillId="0" borderId="22" xfId="0" applyFont="1" applyBorder="1" applyAlignment="1" applyProtection="1">
      <alignment horizontal="center"/>
    </xf>
    <xf numFmtId="164" fontId="12" fillId="0" borderId="8" xfId="2" applyNumberFormat="1" applyFont="1" applyBorder="1"/>
    <xf numFmtId="183" fontId="12" fillId="0" borderId="8" xfId="2" applyNumberFormat="1" applyFont="1" applyBorder="1" applyAlignment="1" applyProtection="1">
      <alignment horizontal="right"/>
    </xf>
    <xf numFmtId="183" fontId="12" fillId="0" borderId="8" xfId="0" applyNumberFormat="1" applyFont="1" applyBorder="1"/>
    <xf numFmtId="183" fontId="12" fillId="0" borderId="8" xfId="2" applyNumberFormat="1" applyFont="1" applyBorder="1"/>
    <xf numFmtId="0" fontId="12" fillId="0" borderId="24" xfId="0" applyFont="1" applyBorder="1"/>
    <xf numFmtId="0" fontId="13" fillId="0" borderId="8" xfId="0" applyFont="1" applyBorder="1" applyAlignment="1" applyProtection="1">
      <alignment horizontal="center"/>
    </xf>
    <xf numFmtId="0" fontId="13" fillId="0" borderId="8" xfId="0" applyFont="1" applyBorder="1" applyAlignment="1" applyProtection="1">
      <alignment horizontal="right"/>
    </xf>
    <xf numFmtId="0" fontId="13" fillId="0" borderId="8" xfId="0" applyFont="1" applyBorder="1"/>
    <xf numFmtId="0" fontId="13" fillId="0" borderId="15" xfId="0" applyFont="1" applyBorder="1"/>
    <xf numFmtId="170" fontId="12" fillId="0" borderId="0" xfId="0" applyNumberFormat="1" applyFont="1" applyProtection="1"/>
    <xf numFmtId="174" fontId="12" fillId="0" borderId="0" xfId="1" applyNumberFormat="1" applyFont="1" applyAlignment="1" applyProtection="1">
      <alignment horizontal="right"/>
    </xf>
    <xf numFmtId="174" fontId="12" fillId="0" borderId="8" xfId="1" applyNumberFormat="1" applyFont="1" applyBorder="1" applyAlignment="1" applyProtection="1">
      <alignment horizontal="right"/>
    </xf>
    <xf numFmtId="0" fontId="13" fillId="0" borderId="0" xfId="0" applyFont="1" applyAlignment="1" applyProtection="1">
      <alignment horizontal="centerContinuous"/>
    </xf>
    <xf numFmtId="0" fontId="12" fillId="0" borderId="0" xfId="0" applyFont="1" applyAlignment="1">
      <alignment horizontal="centerContinuous"/>
    </xf>
    <xf numFmtId="0" fontId="13" fillId="0" borderId="119" xfId="0" applyFont="1" applyBorder="1" applyAlignment="1" applyProtection="1">
      <alignment horizontal="center"/>
    </xf>
    <xf numFmtId="0" fontId="13" fillId="0" borderId="106" xfId="0" applyFont="1" applyBorder="1" applyAlignment="1" applyProtection="1">
      <alignment horizontal="center"/>
    </xf>
    <xf numFmtId="0" fontId="13" fillId="0" borderId="23" xfId="0" applyFont="1" applyBorder="1" applyAlignment="1" applyProtection="1">
      <alignment horizontal="center"/>
    </xf>
    <xf numFmtId="0" fontId="12" fillId="0" borderId="113" xfId="0" applyFont="1" applyBorder="1"/>
    <xf numFmtId="0" fontId="7" fillId="0" borderId="120" xfId="0" applyFont="1" applyBorder="1" applyAlignment="1" applyProtection="1">
      <alignment horizontal="center"/>
    </xf>
    <xf numFmtId="171" fontId="3" fillId="0" borderId="0" xfId="0" applyNumberFormat="1" applyFont="1" applyBorder="1" applyAlignment="1" applyProtection="1">
      <alignment horizontal="center"/>
    </xf>
    <xf numFmtId="0" fontId="12" fillId="0" borderId="109" xfId="0" applyFont="1" applyBorder="1"/>
    <xf numFmtId="0" fontId="52" fillId="0" borderId="0" xfId="0" applyFont="1"/>
    <xf numFmtId="0" fontId="7" fillId="0" borderId="17" xfId="0" applyFont="1" applyBorder="1" applyAlignment="1" applyProtection="1">
      <alignment horizontal="center"/>
    </xf>
    <xf numFmtId="0" fontId="7" fillId="0" borderId="22" xfId="0" applyFont="1" applyBorder="1" applyAlignment="1" applyProtection="1">
      <alignment horizontal="center"/>
    </xf>
    <xf numFmtId="171" fontId="3" fillId="0" borderId="8" xfId="0" applyNumberFormat="1" applyFont="1" applyBorder="1" applyAlignment="1" applyProtection="1">
      <alignment horizontal="center"/>
    </xf>
    <xf numFmtId="0" fontId="3" fillId="0" borderId="8" xfId="0" applyFont="1" applyBorder="1"/>
    <xf numFmtId="0" fontId="21" fillId="0" borderId="0" xfId="0" applyFont="1" applyAlignment="1" applyProtection="1">
      <alignment horizontal="left"/>
    </xf>
    <xf numFmtId="0" fontId="0" fillId="0" borderId="23" xfId="0" applyBorder="1"/>
    <xf numFmtId="0" fontId="0" fillId="0" borderId="8" xfId="0" applyBorder="1"/>
    <xf numFmtId="0" fontId="13" fillId="0" borderId="16" xfId="0" applyFont="1" applyBorder="1" applyAlignment="1" applyProtection="1">
      <alignment horizontal="center"/>
    </xf>
    <xf numFmtId="0" fontId="7" fillId="0" borderId="17" xfId="0" applyFont="1" applyFill="1" applyBorder="1" applyAlignment="1" applyProtection="1">
      <alignment horizontal="center"/>
    </xf>
    <xf numFmtId="171" fontId="3" fillId="0" borderId="0" xfId="0" applyNumberFormat="1" applyFont="1" applyFill="1" applyBorder="1" applyAlignment="1" applyProtection="1">
      <alignment horizontal="center"/>
    </xf>
    <xf numFmtId="0" fontId="8" fillId="0" borderId="0" xfId="0" applyFont="1" applyBorder="1"/>
    <xf numFmtId="0" fontId="8" fillId="0" borderId="18" xfId="0" applyFont="1" applyBorder="1"/>
    <xf numFmtId="0" fontId="0" fillId="0" borderId="0" xfId="0" applyBorder="1" applyAlignment="1">
      <alignment horizontal="center"/>
    </xf>
    <xf numFmtId="0" fontId="0" fillId="0" borderId="21" xfId="0" applyBorder="1"/>
    <xf numFmtId="0" fontId="7" fillId="0" borderId="22" xfId="0" applyFont="1" applyFill="1" applyBorder="1" applyAlignment="1" applyProtection="1">
      <alignment horizontal="center"/>
    </xf>
    <xf numFmtId="171" fontId="3" fillId="0" borderId="8" xfId="0" applyNumberFormat="1" applyFont="1" applyFill="1" applyBorder="1" applyAlignment="1" applyProtection="1">
      <alignment horizontal="center"/>
    </xf>
    <xf numFmtId="0" fontId="0" fillId="0" borderId="8" xfId="0" applyBorder="1" applyAlignment="1">
      <alignment horizontal="center"/>
    </xf>
    <xf numFmtId="0" fontId="0" fillId="0" borderId="24" xfId="0" applyBorder="1"/>
    <xf numFmtId="0" fontId="11" fillId="0" borderId="0" xfId="0" applyFont="1" applyAlignment="1" applyProtection="1">
      <alignment horizontal="centerContinuous"/>
    </xf>
    <xf numFmtId="0" fontId="11" fillId="0" borderId="0" xfId="0" quotePrefix="1" applyFont="1" applyAlignment="1" applyProtection="1">
      <alignment horizontal="centerContinuous"/>
    </xf>
    <xf numFmtId="0" fontId="6" fillId="0" borderId="110" xfId="0" applyFont="1" applyBorder="1"/>
    <xf numFmtId="0" fontId="6" fillId="0" borderId="119" xfId="0" applyFont="1" applyBorder="1"/>
    <xf numFmtId="0" fontId="6" fillId="0" borderId="25" xfId="0" applyFont="1" applyBorder="1"/>
    <xf numFmtId="0" fontId="11" fillId="0" borderId="25" xfId="0" applyFont="1" applyBorder="1"/>
    <xf numFmtId="0" fontId="11" fillId="0" borderId="25" xfId="0" applyFont="1" applyBorder="1" applyAlignment="1" applyProtection="1">
      <alignment horizontal="center"/>
    </xf>
    <xf numFmtId="0" fontId="11" fillId="0" borderId="121" xfId="0" applyFont="1" applyBorder="1"/>
    <xf numFmtId="0" fontId="11" fillId="0" borderId="107" xfId="0" applyFont="1" applyBorder="1"/>
    <xf numFmtId="0" fontId="11" fillId="0" borderId="0" xfId="0" applyFont="1"/>
    <xf numFmtId="0" fontId="11" fillId="0" borderId="109" xfId="0" applyFont="1" applyBorder="1"/>
    <xf numFmtId="0" fontId="11" fillId="0" borderId="0" xfId="0" applyFont="1" applyAlignment="1" applyProtection="1">
      <alignment horizontal="right"/>
    </xf>
    <xf numFmtId="0" fontId="6" fillId="0" borderId="112" xfId="0" applyFont="1" applyBorder="1"/>
    <xf numFmtId="0" fontId="6" fillId="0" borderId="106" xfId="0" applyFont="1" applyBorder="1"/>
    <xf numFmtId="0" fontId="6" fillId="0" borderId="113" xfId="0" applyFont="1" applyBorder="1"/>
    <xf numFmtId="164" fontId="6" fillId="0" borderId="0" xfId="2" applyNumberFormat="1" applyFont="1" applyAlignment="1" applyProtection="1">
      <alignment horizontal="center"/>
    </xf>
    <xf numFmtId="166" fontId="6" fillId="0" borderId="0" xfId="1" applyNumberFormat="1" applyFont="1" applyAlignment="1" applyProtection="1">
      <alignment horizontal="right"/>
    </xf>
    <xf numFmtId="166" fontId="6" fillId="0" borderId="0" xfId="1" applyNumberFormat="1" applyFont="1" applyBorder="1" applyAlignment="1" applyProtection="1">
      <alignment horizontal="right"/>
    </xf>
    <xf numFmtId="164" fontId="6" fillId="0" borderId="0" xfId="2" applyNumberFormat="1" applyFont="1" applyBorder="1" applyAlignment="1" applyProtection="1">
      <alignment horizontal="center"/>
    </xf>
    <xf numFmtId="166" fontId="6" fillId="0" borderId="0" xfId="1" applyNumberFormat="1" applyFont="1" applyFill="1" applyBorder="1" applyAlignment="1" applyProtection="1">
      <alignment horizontal="right"/>
    </xf>
    <xf numFmtId="166" fontId="0" fillId="0" borderId="0" xfId="0" applyNumberFormat="1" applyBorder="1" applyAlignment="1">
      <alignment horizontal="right"/>
    </xf>
    <xf numFmtId="0" fontId="3" fillId="0" borderId="0" xfId="0" quotePrefix="1" applyFont="1" applyAlignment="1">
      <alignment horizontal="left"/>
    </xf>
    <xf numFmtId="0" fontId="3" fillId="0" borderId="21" xfId="0" quotePrefix="1" applyFont="1" applyBorder="1" applyAlignment="1">
      <alignment horizontal="left"/>
    </xf>
    <xf numFmtId="166" fontId="3" fillId="0" borderId="0" xfId="0" quotePrefix="1" applyNumberFormat="1" applyFont="1" applyBorder="1" applyAlignment="1">
      <alignment horizontal="right"/>
    </xf>
    <xf numFmtId="0" fontId="3" fillId="0" borderId="0" xfId="0" quotePrefix="1" applyFont="1" applyBorder="1" applyAlignment="1">
      <alignment horizontal="left"/>
    </xf>
    <xf numFmtId="0" fontId="3" fillId="0" borderId="18" xfId="0" quotePrefix="1" applyFont="1" applyBorder="1" applyAlignment="1">
      <alignment horizontal="left"/>
    </xf>
    <xf numFmtId="0" fontId="11" fillId="0" borderId="17" xfId="0" applyFont="1" applyFill="1" applyBorder="1" applyAlignment="1" applyProtection="1">
      <alignment horizontal="center"/>
    </xf>
    <xf numFmtId="0" fontId="3" fillId="0" borderId="0" xfId="0" quotePrefix="1" applyFont="1" applyFill="1" applyBorder="1" applyAlignment="1">
      <alignment horizontal="left"/>
    </xf>
    <xf numFmtId="166" fontId="3" fillId="0" borderId="0" xfId="0" quotePrefix="1" applyNumberFormat="1" applyFont="1" applyFill="1" applyBorder="1" applyAlignment="1">
      <alignment horizontal="right"/>
    </xf>
    <xf numFmtId="164" fontId="6" fillId="0" borderId="0" xfId="2" applyNumberFormat="1" applyFont="1" applyFill="1" applyBorder="1" applyAlignment="1" applyProtection="1">
      <alignment horizontal="center"/>
    </xf>
    <xf numFmtId="0" fontId="3" fillId="0" borderId="18" xfId="0" quotePrefix="1" applyFont="1" applyFill="1" applyBorder="1" applyAlignment="1">
      <alignment horizontal="left"/>
    </xf>
    <xf numFmtId="0" fontId="51" fillId="0" borderId="18" xfId="0" applyFont="1" applyBorder="1" applyAlignment="1">
      <alignment horizontal="right"/>
    </xf>
    <xf numFmtId="0" fontId="11" fillId="0" borderId="22" xfId="0" applyFont="1" applyFill="1" applyBorder="1" applyAlignment="1" applyProtection="1">
      <alignment horizontal="center"/>
    </xf>
    <xf numFmtId="166" fontId="6" fillId="0" borderId="8" xfId="1" applyNumberFormat="1" applyFont="1" applyFill="1" applyBorder="1" applyAlignment="1" applyProtection="1">
      <alignment horizontal="right"/>
    </xf>
    <xf numFmtId="166" fontId="0" fillId="0" borderId="8" xfId="0" applyNumberFormat="1" applyBorder="1" applyAlignment="1">
      <alignment horizontal="right"/>
    </xf>
    <xf numFmtId="164" fontId="6" fillId="0" borderId="8" xfId="2" applyNumberFormat="1" applyFont="1" applyBorder="1" applyAlignment="1" applyProtection="1">
      <alignment horizontal="center"/>
    </xf>
    <xf numFmtId="0" fontId="51" fillId="0" borderId="24" xfId="0" applyFont="1" applyBorder="1" applyAlignment="1">
      <alignment horizontal="right"/>
    </xf>
    <xf numFmtId="164" fontId="41" fillId="0" borderId="0" xfId="0" applyNumberFormat="1" applyFont="1" applyProtection="1"/>
    <xf numFmtId="164" fontId="0" fillId="0" borderId="0" xfId="0" applyNumberFormat="1" applyProtection="1"/>
    <xf numFmtId="0" fontId="25" fillId="0" borderId="0" xfId="0" applyFont="1" applyAlignment="1" applyProtection="1">
      <alignment horizontal="centerContinuous"/>
    </xf>
    <xf numFmtId="0" fontId="13" fillId="0" borderId="0" xfId="0" applyFont="1" applyAlignment="1">
      <alignment horizontal="centerContinuous"/>
    </xf>
    <xf numFmtId="0" fontId="12" fillId="0" borderId="122" xfId="0" applyFont="1" applyBorder="1"/>
    <xf numFmtId="0" fontId="12" fillId="0" borderId="25" xfId="0" applyFont="1" applyBorder="1"/>
    <xf numFmtId="0" fontId="12" fillId="0" borderId="121" xfId="0" applyFont="1" applyBorder="1"/>
    <xf numFmtId="0" fontId="14" fillId="0" borderId="21" xfId="0" applyFont="1" applyBorder="1" applyAlignment="1">
      <alignment horizontal="center"/>
    </xf>
    <xf numFmtId="0" fontId="53" fillId="0" borderId="0" xfId="0" applyFont="1" applyBorder="1" applyAlignment="1">
      <alignment horizontal="center"/>
    </xf>
    <xf numFmtId="0" fontId="13" fillId="0" borderId="21" xfId="0" applyFont="1" applyBorder="1" applyAlignment="1">
      <alignment horizontal="center" vertical="center"/>
    </xf>
    <xf numFmtId="0" fontId="53" fillId="0" borderId="109" xfId="0" applyFont="1" applyBorder="1" applyAlignment="1">
      <alignment horizontal="center"/>
    </xf>
    <xf numFmtId="0" fontId="13" fillId="0" borderId="17" xfId="0" applyFont="1" applyBorder="1" applyAlignment="1">
      <alignment vertical="center"/>
    </xf>
    <xf numFmtId="0" fontId="13" fillId="0" borderId="0" xfId="0" applyFont="1" applyFill="1" applyBorder="1" applyAlignment="1" applyProtection="1">
      <alignment horizontal="center" vertical="center"/>
    </xf>
    <xf numFmtId="0" fontId="13" fillId="0" borderId="109" xfId="0" applyFont="1" applyBorder="1" applyAlignment="1">
      <alignment horizontal="center"/>
    </xf>
    <xf numFmtId="0" fontId="13" fillId="0" borderId="109" xfId="0" applyFont="1" applyBorder="1"/>
    <xf numFmtId="0" fontId="13" fillId="0" borderId="17" xfId="0" applyFont="1" applyBorder="1" applyAlignment="1" applyProtection="1">
      <alignment horizontal="center" vertical="center"/>
    </xf>
    <xf numFmtId="0" fontId="13" fillId="0" borderId="21" xfId="0" applyFont="1" applyBorder="1" applyAlignment="1" applyProtection="1">
      <alignment horizontal="center" vertical="center"/>
    </xf>
    <xf numFmtId="0" fontId="13" fillId="0" borderId="0" xfId="0" quotePrefix="1" applyFont="1" applyAlignment="1">
      <alignment horizontal="center" vertical="center"/>
    </xf>
    <xf numFmtId="0" fontId="13" fillId="0" borderId="123" xfId="0" quotePrefix="1" applyFont="1" applyBorder="1" applyAlignment="1">
      <alignment horizontal="center" vertical="center"/>
    </xf>
    <xf numFmtId="0" fontId="13" fillId="0" borderId="0" xfId="0" applyFont="1" applyAlignment="1" applyProtection="1">
      <alignment horizontal="center" vertical="center"/>
    </xf>
    <xf numFmtId="0" fontId="13" fillId="0" borderId="109" xfId="0" applyFont="1" applyFill="1" applyBorder="1" applyAlignment="1" applyProtection="1">
      <alignment horizontal="center" vertical="center"/>
    </xf>
    <xf numFmtId="0" fontId="13" fillId="0" borderId="23" xfId="0" applyFont="1" applyBorder="1" applyAlignment="1" applyProtection="1">
      <alignment horizontal="center" vertical="center"/>
    </xf>
    <xf numFmtId="0" fontId="13" fillId="0" borderId="8" xfId="0" quotePrefix="1" applyFont="1" applyBorder="1" applyAlignment="1">
      <alignment horizontal="center" vertical="center"/>
    </xf>
    <xf numFmtId="0" fontId="13" fillId="0" borderId="8" xfId="0" applyFont="1" applyBorder="1" applyAlignment="1">
      <alignment horizontal="center" vertical="center"/>
    </xf>
    <xf numFmtId="0" fontId="13" fillId="0" borderId="113" xfId="0" applyFont="1" applyFill="1" applyBorder="1" applyAlignment="1" applyProtection="1">
      <alignment horizontal="center" vertical="center"/>
    </xf>
    <xf numFmtId="0" fontId="13" fillId="0" borderId="117" xfId="0" applyFont="1" applyBorder="1"/>
    <xf numFmtId="0" fontId="54" fillId="0" borderId="0" xfId="0" applyFont="1" applyAlignment="1">
      <alignment vertical="center"/>
    </xf>
    <xf numFmtId="0" fontId="12" fillId="0" borderId="23" xfId="0" quotePrefix="1" applyFont="1" applyBorder="1" applyAlignment="1">
      <alignment horizontal="center"/>
    </xf>
    <xf numFmtId="0" fontId="3" fillId="0" borderId="8" xfId="0" quotePrefix="1" applyFont="1" applyBorder="1" applyAlignment="1">
      <alignment horizontal="center"/>
    </xf>
    <xf numFmtId="0" fontId="3" fillId="0" borderId="124" xfId="0" quotePrefix="1" applyFont="1" applyBorder="1" applyAlignment="1">
      <alignment horizontal="right"/>
    </xf>
    <xf numFmtId="0" fontId="0" fillId="0" borderId="113" xfId="0" quotePrefix="1" applyBorder="1" applyAlignment="1">
      <alignment horizontal="center"/>
    </xf>
    <xf numFmtId="0" fontId="3" fillId="0" borderId="8" xfId="0" applyFont="1" applyBorder="1" applyAlignment="1">
      <alignment horizontal="center"/>
    </xf>
    <xf numFmtId="0" fontId="3" fillId="0" borderId="113" xfId="0" applyFont="1" applyBorder="1"/>
    <xf numFmtId="0" fontId="2" fillId="7" borderId="0" xfId="0" applyFont="1" applyFill="1"/>
    <xf numFmtId="174" fontId="12" fillId="0" borderId="123" xfId="1" applyNumberFormat="1" applyFont="1" applyBorder="1" applyAlignment="1" applyProtection="1">
      <alignment horizontal="center"/>
    </xf>
    <xf numFmtId="164" fontId="12" fillId="0" borderId="0" xfId="0" applyNumberFormat="1" applyFont="1" applyProtection="1"/>
    <xf numFmtId="0" fontId="0" fillId="7" borderId="0" xfId="0" applyFill="1"/>
    <xf numFmtId="174" fontId="12" fillId="0" borderId="21" xfId="1" applyNumberFormat="1" applyFont="1" applyBorder="1" applyAlignment="1" applyProtection="1">
      <alignment horizontal="center"/>
    </xf>
    <xf numFmtId="174" fontId="12" fillId="0" borderId="0" xfId="1" applyNumberFormat="1" applyFont="1" applyBorder="1" applyAlignment="1" applyProtection="1">
      <alignment horizontal="center"/>
    </xf>
    <xf numFmtId="164" fontId="0" fillId="7" borderId="0" xfId="0" applyNumberFormat="1" applyFill="1"/>
    <xf numFmtId="184" fontId="0" fillId="0" borderId="0" xfId="0" applyNumberFormat="1"/>
    <xf numFmtId="0" fontId="13" fillId="5" borderId="17" xfId="0" applyFont="1" applyFill="1" applyBorder="1" applyAlignment="1" applyProtection="1">
      <alignment horizontal="center"/>
    </xf>
    <xf numFmtId="0" fontId="12" fillId="5" borderId="109" xfId="0" applyFont="1" applyFill="1" applyBorder="1"/>
    <xf numFmtId="0" fontId="54" fillId="5" borderId="0" xfId="0" applyFont="1" applyFill="1" applyAlignment="1">
      <alignment vertical="center"/>
    </xf>
    <xf numFmtId="0" fontId="0" fillId="5" borderId="0" xfId="0" applyFill="1"/>
    <xf numFmtId="0" fontId="54" fillId="7" borderId="0" xfId="0" applyFont="1" applyFill="1" applyAlignment="1">
      <alignment vertical="center"/>
    </xf>
    <xf numFmtId="184" fontId="0" fillId="7" borderId="0" xfId="0" applyNumberFormat="1" applyFill="1"/>
    <xf numFmtId="174" fontId="12" fillId="0" borderId="0" xfId="1" applyNumberFormat="1" applyFont="1" applyFill="1" applyBorder="1" applyAlignment="1" applyProtection="1">
      <alignment horizontal="center"/>
    </xf>
    <xf numFmtId="170" fontId="0" fillId="0" borderId="0" xfId="0" applyNumberFormat="1"/>
    <xf numFmtId="0" fontId="13" fillId="0" borderId="17" xfId="0" applyFont="1" applyFill="1" applyBorder="1" applyAlignment="1" applyProtection="1">
      <alignment horizontal="center"/>
    </xf>
    <xf numFmtId="174" fontId="12" fillId="0" borderId="21" xfId="1" applyNumberFormat="1" applyFont="1" applyFill="1" applyBorder="1" applyAlignment="1" applyProtection="1">
      <alignment horizontal="center"/>
    </xf>
    <xf numFmtId="0" fontId="12" fillId="0" borderId="0" xfId="0" applyFont="1" applyFill="1" applyBorder="1" applyAlignment="1" applyProtection="1">
      <alignment horizontal="center"/>
    </xf>
    <xf numFmtId="0" fontId="12" fillId="0" borderId="109" xfId="0" applyFont="1" applyFill="1" applyBorder="1"/>
    <xf numFmtId="0" fontId="55" fillId="0" borderId="0" xfId="0" applyFont="1"/>
    <xf numFmtId="174" fontId="12" fillId="0" borderId="21" xfId="1" applyNumberFormat="1" applyFont="1" applyBorder="1"/>
    <xf numFmtId="174" fontId="12" fillId="0" borderId="0" xfId="1" applyNumberFormat="1" applyFont="1" applyBorder="1"/>
    <xf numFmtId="174" fontId="12" fillId="0" borderId="0" xfId="1" applyNumberFormat="1" applyFont="1" applyFill="1" applyBorder="1"/>
    <xf numFmtId="0" fontId="0" fillId="0" borderId="69" xfId="0" applyBorder="1"/>
    <xf numFmtId="0" fontId="0" fillId="0" borderId="95" xfId="0" applyBorder="1"/>
    <xf numFmtId="0" fontId="2" fillId="0" borderId="95" xfId="0" applyFont="1" applyBorder="1"/>
    <xf numFmtId="0" fontId="2" fillId="0" borderId="69" xfId="0" applyFont="1" applyBorder="1"/>
    <xf numFmtId="0" fontId="2" fillId="0" borderId="70" xfId="0" applyFont="1" applyBorder="1"/>
    <xf numFmtId="174" fontId="12" fillId="0" borderId="21" xfId="1" applyNumberFormat="1" applyFont="1" applyFill="1" applyBorder="1"/>
    <xf numFmtId="174" fontId="12" fillId="0" borderId="123" xfId="1" applyNumberFormat="1" applyFont="1" applyFill="1" applyBorder="1" applyAlignment="1" applyProtection="1">
      <alignment horizontal="center"/>
    </xf>
    <xf numFmtId="170" fontId="12" fillId="0" borderId="0" xfId="0" applyNumberFormat="1" applyFont="1" applyFill="1" applyProtection="1"/>
    <xf numFmtId="164" fontId="12" fillId="0" borderId="0" xfId="0" applyNumberFormat="1" applyFont="1" applyFill="1" applyProtection="1"/>
    <xf numFmtId="0" fontId="12" fillId="0" borderId="123" xfId="0" applyFont="1" applyFill="1" applyBorder="1"/>
    <xf numFmtId="0" fontId="0" fillId="0" borderId="81" xfId="0" applyFill="1" applyBorder="1"/>
    <xf numFmtId="184" fontId="0" fillId="0" borderId="0" xfId="0" applyNumberFormat="1" applyFill="1" applyBorder="1"/>
    <xf numFmtId="184" fontId="0" fillId="0" borderId="81" xfId="0" applyNumberFormat="1" applyFill="1" applyBorder="1"/>
    <xf numFmtId="184" fontId="0" fillId="0" borderId="78" xfId="0" applyNumberFormat="1" applyFill="1" applyBorder="1"/>
    <xf numFmtId="0" fontId="12" fillId="0" borderId="123" xfId="0" applyFont="1" applyBorder="1"/>
    <xf numFmtId="184" fontId="0" fillId="0" borderId="0" xfId="0" applyNumberFormat="1" applyBorder="1"/>
    <xf numFmtId="184" fontId="0" fillId="0" borderId="81" xfId="0" applyNumberFormat="1" applyBorder="1"/>
    <xf numFmtId="184" fontId="0" fillId="0" borderId="78" xfId="0" applyNumberFormat="1" applyBorder="1"/>
    <xf numFmtId="164" fontId="12" fillId="0" borderId="0" xfId="0" applyNumberFormat="1" applyFont="1" applyBorder="1" applyProtection="1"/>
    <xf numFmtId="174" fontId="12" fillId="0" borderId="23" xfId="1" applyNumberFormat="1" applyFont="1" applyFill="1" applyBorder="1"/>
    <xf numFmtId="174" fontId="12" fillId="0" borderId="8" xfId="1" applyNumberFormat="1" applyFont="1" applyFill="1" applyBorder="1"/>
    <xf numFmtId="174" fontId="12" fillId="0" borderId="8" xfId="1" applyNumberFormat="1" applyFont="1" applyBorder="1" applyAlignment="1" applyProtection="1">
      <alignment horizontal="center"/>
    </xf>
    <xf numFmtId="174" fontId="12" fillId="0" borderId="124" xfId="1" applyNumberFormat="1" applyFont="1" applyFill="1" applyBorder="1" applyAlignment="1" applyProtection="1">
      <alignment horizontal="center"/>
    </xf>
    <xf numFmtId="174" fontId="12" fillId="0" borderId="8" xfId="1" applyNumberFormat="1" applyFont="1" applyFill="1" applyBorder="1" applyAlignment="1" applyProtection="1">
      <alignment horizontal="center"/>
    </xf>
    <xf numFmtId="174" fontId="12" fillId="0" borderId="124" xfId="1" applyNumberFormat="1" applyFont="1" applyBorder="1" applyAlignment="1" applyProtection="1">
      <alignment horizontal="center"/>
    </xf>
    <xf numFmtId="170" fontId="12" fillId="0" borderId="23" xfId="0" applyNumberFormat="1" applyFont="1" applyFill="1" applyBorder="1" applyProtection="1"/>
    <xf numFmtId="0" fontId="12" fillId="0" borderId="8" xfId="0" applyFont="1" applyFill="1" applyBorder="1" applyAlignment="1" applyProtection="1">
      <alignment horizontal="center"/>
    </xf>
    <xf numFmtId="164" fontId="12" fillId="0" borderId="8" xfId="0" applyNumberFormat="1" applyFont="1" applyFill="1" applyBorder="1" applyProtection="1"/>
    <xf numFmtId="0" fontId="12" fillId="0" borderId="124" xfId="0" applyFont="1" applyFill="1" applyBorder="1"/>
    <xf numFmtId="185" fontId="54" fillId="0" borderId="0" xfId="0" applyNumberFormat="1" applyFont="1" applyFill="1" applyAlignment="1">
      <alignment vertical="center"/>
    </xf>
    <xf numFmtId="184" fontId="0" fillId="0" borderId="0" xfId="0" applyNumberFormat="1" applyFill="1"/>
    <xf numFmtId="0" fontId="0" fillId="7" borderId="81" xfId="0" applyFill="1" applyBorder="1"/>
    <xf numFmtId="0" fontId="0" fillId="7" borderId="0" xfId="0" applyFill="1" applyBorder="1"/>
    <xf numFmtId="184" fontId="0" fillId="7" borderId="0" xfId="0" applyNumberFormat="1" applyFill="1" applyBorder="1"/>
    <xf numFmtId="184" fontId="0" fillId="7" borderId="81" xfId="0" applyNumberFormat="1" applyFill="1" applyBorder="1"/>
    <xf numFmtId="184" fontId="0" fillId="7" borderId="78" xfId="0" applyNumberFormat="1" applyFill="1" applyBorder="1"/>
    <xf numFmtId="43" fontId="12" fillId="0" borderId="0" xfId="0" applyNumberFormat="1" applyFont="1" applyFill="1" applyBorder="1"/>
    <xf numFmtId="0" fontId="0" fillId="0" borderId="88" xfId="0" applyBorder="1"/>
    <xf numFmtId="0" fontId="0" fillId="0" borderId="93" xfId="0" applyBorder="1"/>
    <xf numFmtId="184" fontId="0" fillId="0" borderId="93" xfId="0" applyNumberFormat="1" applyBorder="1"/>
    <xf numFmtId="184" fontId="0" fillId="0" borderId="88" xfId="0" applyNumberFormat="1" applyBorder="1"/>
    <xf numFmtId="184" fontId="0" fillId="0" borderId="89" xfId="0" applyNumberFormat="1" applyBorder="1"/>
    <xf numFmtId="0" fontId="12" fillId="0" borderId="0" xfId="0" applyFont="1" applyAlignment="1" applyProtection="1">
      <alignment horizontal="left"/>
    </xf>
    <xf numFmtId="0" fontId="56" fillId="0" borderId="0" xfId="0" applyFont="1"/>
    <xf numFmtId="0" fontId="13" fillId="0" borderId="124" xfId="0" quotePrefix="1" applyFont="1" applyBorder="1" applyAlignment="1">
      <alignment horizontal="center" vertical="center"/>
    </xf>
    <xf numFmtId="0" fontId="57" fillId="0" borderId="0" xfId="3" applyFont="1" applyFill="1"/>
    <xf numFmtId="0" fontId="58" fillId="0" borderId="0" xfId="3" applyFont="1" applyFill="1" applyAlignment="1">
      <alignment horizontal="center"/>
    </xf>
    <xf numFmtId="0" fontId="13" fillId="0" borderId="125" xfId="3" applyFont="1" applyFill="1" applyBorder="1" applyAlignment="1">
      <alignment horizontal="center" wrapText="1"/>
    </xf>
    <xf numFmtId="0" fontId="13" fillId="0" borderId="126" xfId="3" applyFont="1" applyFill="1" applyBorder="1" applyAlignment="1">
      <alignment horizontal="center" wrapText="1"/>
    </xf>
    <xf numFmtId="0" fontId="12" fillId="0" borderId="17" xfId="3" applyFont="1" applyFill="1" applyBorder="1" applyAlignment="1">
      <alignment horizontal="center" wrapText="1"/>
    </xf>
    <xf numFmtId="10" fontId="12" fillId="0" borderId="123" xfId="3" applyNumberFormat="1" applyFont="1" applyFill="1" applyBorder="1" applyAlignment="1">
      <alignment horizontal="center"/>
    </xf>
    <xf numFmtId="0" fontId="12" fillId="0" borderId="17" xfId="3" applyFont="1" applyFill="1" applyBorder="1" applyAlignment="1">
      <alignment horizontal="center"/>
    </xf>
    <xf numFmtId="7" fontId="57" fillId="0" borderId="0" xfId="3" applyNumberFormat="1" applyFont="1" applyFill="1"/>
    <xf numFmtId="10" fontId="12" fillId="0" borderId="123" xfId="3" applyNumberFormat="1" applyFont="1" applyFill="1" applyBorder="1" applyAlignment="1">
      <alignment horizontal="center" wrapText="1"/>
    </xf>
    <xf numFmtId="0" fontId="57" fillId="0" borderId="0" xfId="3" applyFont="1" applyFill="1" applyAlignment="1">
      <alignment wrapText="1"/>
    </xf>
    <xf numFmtId="0" fontId="1" fillId="0" borderId="0" xfId="3" applyFill="1"/>
    <xf numFmtId="0" fontId="12" fillId="0" borderId="22" xfId="3" applyFont="1" applyFill="1" applyBorder="1" applyAlignment="1">
      <alignment horizontal="center"/>
    </xf>
    <xf numFmtId="10" fontId="12" fillId="0" borderId="124" xfId="3" applyNumberFormat="1" applyFont="1" applyFill="1" applyBorder="1" applyAlignment="1">
      <alignment horizontal="center"/>
    </xf>
    <xf numFmtId="0" fontId="60" fillId="0" borderId="0" xfId="0" applyFont="1" applyAlignment="1">
      <alignment wrapText="1"/>
    </xf>
    <xf numFmtId="0" fontId="1" fillId="0" borderId="0" xfId="3" applyAlignment="1">
      <alignment horizontal="center"/>
    </xf>
    <xf numFmtId="168" fontId="16" fillId="0" borderId="125" xfId="0" applyNumberFormat="1" applyFont="1" applyFill="1" applyBorder="1" applyAlignment="1">
      <alignment vertical="top" wrapText="1"/>
    </xf>
    <xf numFmtId="43" fontId="11" fillId="0" borderId="0" xfId="1" applyFont="1" applyFill="1" applyAlignment="1">
      <alignment horizontal="center"/>
    </xf>
    <xf numFmtId="0" fontId="13" fillId="0" borderId="0" xfId="0" applyFont="1" applyFill="1" applyBorder="1" applyAlignment="1">
      <alignment horizontal="center"/>
    </xf>
    <xf numFmtId="0" fontId="7" fillId="0" borderId="25" xfId="0" applyFont="1" applyFill="1" applyBorder="1" applyAlignment="1">
      <alignment horizontal="center"/>
    </xf>
    <xf numFmtId="0" fontId="31" fillId="0" borderId="19" xfId="0" applyFont="1" applyFill="1" applyBorder="1" applyAlignment="1">
      <alignment horizontal="center"/>
    </xf>
    <xf numFmtId="171" fontId="3" fillId="0" borderId="0" xfId="0" applyNumberFormat="1" applyFont="1" applyAlignment="1" applyProtection="1">
      <alignment horizontal="center"/>
    </xf>
    <xf numFmtId="0" fontId="0" fillId="0" borderId="0" xfId="0" applyAlignment="1"/>
    <xf numFmtId="0" fontId="7" fillId="0" borderId="0" xfId="0" applyFont="1" applyAlignment="1" applyProtection="1">
      <alignment horizontal="center"/>
    </xf>
    <xf numFmtId="0" fontId="7" fillId="0" borderId="0" xfId="0" quotePrefix="1" applyFont="1" applyAlignment="1" applyProtection="1">
      <alignment horizontal="center"/>
    </xf>
    <xf numFmtId="0" fontId="7" fillId="0" borderId="8" xfId="0" applyFont="1" applyBorder="1" applyAlignment="1" applyProtection="1">
      <alignment horizontal="center"/>
    </xf>
    <xf numFmtId="171" fontId="7" fillId="0" borderId="0" xfId="0" applyNumberFormat="1" applyFont="1" applyAlignment="1" applyProtection="1">
      <alignment horizontal="center"/>
    </xf>
    <xf numFmtId="0" fontId="0" fillId="0" borderId="0" xfId="0" applyAlignment="1">
      <alignment horizontal="center"/>
    </xf>
    <xf numFmtId="0" fontId="4" fillId="3" borderId="4" xfId="0" applyFont="1" applyFill="1" applyBorder="1" applyAlignment="1">
      <alignment horizontal="center"/>
    </xf>
    <xf numFmtId="0" fontId="4" fillId="3" borderId="0" xfId="0" applyFont="1" applyFill="1" applyBorder="1" applyAlignment="1">
      <alignment horizontal="center"/>
    </xf>
    <xf numFmtId="0" fontId="4" fillId="3" borderId="5" xfId="0" applyFont="1" applyFill="1" applyBorder="1" applyAlignment="1">
      <alignment horizontal="center"/>
    </xf>
    <xf numFmtId="0" fontId="5" fillId="3" borderId="4" xfId="0" applyFont="1" applyFill="1" applyBorder="1" applyAlignment="1">
      <alignment horizontal="center"/>
    </xf>
    <xf numFmtId="0" fontId="5" fillId="3" borderId="0" xfId="0" applyFont="1" applyFill="1" applyBorder="1" applyAlignment="1">
      <alignment horizontal="center"/>
    </xf>
    <xf numFmtId="0" fontId="5" fillId="3" borderId="5" xfId="0" applyFont="1" applyFill="1" applyBorder="1" applyAlignment="1">
      <alignment horizontal="center"/>
    </xf>
    <xf numFmtId="0" fontId="13" fillId="0" borderId="19" xfId="0" applyFont="1" applyFill="1" applyBorder="1" applyAlignment="1">
      <alignment horizontal="center" vertical="center"/>
    </xf>
    <xf numFmtId="0" fontId="13" fillId="0" borderId="13" xfId="0" applyFont="1" applyFill="1" applyBorder="1" applyAlignment="1">
      <alignment horizontal="center" vertical="center"/>
    </xf>
    <xf numFmtId="43" fontId="11" fillId="0" borderId="0" xfId="1" applyFont="1" applyFill="1" applyAlignment="1">
      <alignment horizontal="center"/>
    </xf>
    <xf numFmtId="0" fontId="13" fillId="0" borderId="0" xfId="0" applyFont="1" applyFill="1" applyBorder="1" applyAlignment="1">
      <alignment horizontal="center"/>
    </xf>
    <xf numFmtId="0" fontId="13" fillId="0" borderId="14"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15" xfId="0" applyFont="1" applyFill="1" applyBorder="1" applyAlignment="1">
      <alignment horizontal="center" vertical="center"/>
    </xf>
    <xf numFmtId="0" fontId="16" fillId="0" borderId="19" xfId="0" applyFont="1" applyFill="1" applyBorder="1" applyAlignment="1">
      <alignment horizontal="center" vertical="top" wrapText="1"/>
    </xf>
    <xf numFmtId="0" fontId="22" fillId="0" borderId="25" xfId="0" applyFont="1" applyFill="1" applyBorder="1" applyAlignment="1">
      <alignment horizontal="center" vertical="top" wrapText="1"/>
    </xf>
    <xf numFmtId="0" fontId="16" fillId="0" borderId="19" xfId="0" applyFont="1" applyFill="1" applyBorder="1" applyAlignment="1">
      <alignment horizontal="center"/>
    </xf>
    <xf numFmtId="0" fontId="0" fillId="0" borderId="13" xfId="0" applyFont="1" applyFill="1" applyBorder="1" applyAlignment="1">
      <alignment horizontal="center"/>
    </xf>
    <xf numFmtId="0" fontId="16" fillId="0" borderId="0" xfId="0" applyFont="1" applyFill="1" applyAlignment="1">
      <alignment horizontal="center"/>
    </xf>
    <xf numFmtId="0" fontId="22" fillId="0" borderId="0" xfId="0" applyFont="1" applyFill="1" applyAlignment="1">
      <alignment horizontal="center"/>
    </xf>
    <xf numFmtId="43" fontId="13" fillId="0" borderId="19" xfId="1" applyFont="1" applyBorder="1" applyAlignment="1">
      <alignment horizontal="center"/>
    </xf>
    <xf numFmtId="43" fontId="13" fillId="0" borderId="13" xfId="1" applyFont="1" applyBorder="1" applyAlignment="1">
      <alignment horizontal="center"/>
    </xf>
    <xf numFmtId="0" fontId="13" fillId="0" borderId="23" xfId="0" applyFont="1" applyBorder="1" applyAlignment="1">
      <alignment horizontal="center"/>
    </xf>
    <xf numFmtId="0" fontId="13" fillId="0" borderId="24" xfId="0" applyFont="1" applyBorder="1" applyAlignment="1">
      <alignment horizontal="center"/>
    </xf>
    <xf numFmtId="0" fontId="13" fillId="0" borderId="0" xfId="0" applyFont="1" applyBorder="1" applyAlignment="1">
      <alignment horizontal="center"/>
    </xf>
    <xf numFmtId="0" fontId="11" fillId="0" borderId="0" xfId="0" applyFont="1" applyAlignment="1">
      <alignment horizontal="center"/>
    </xf>
    <xf numFmtId="0" fontId="13" fillId="0" borderId="21" xfId="0" applyFont="1" applyBorder="1" applyAlignment="1">
      <alignment horizontal="center"/>
    </xf>
    <xf numFmtId="0" fontId="13" fillId="0" borderId="18" xfId="0" applyFont="1" applyBorder="1" applyAlignment="1">
      <alignment horizontal="center"/>
    </xf>
    <xf numFmtId="0" fontId="7" fillId="0" borderId="25" xfId="0" applyFont="1" applyFill="1" applyBorder="1" applyAlignment="1">
      <alignment horizontal="center"/>
    </xf>
    <xf numFmtId="0" fontId="29" fillId="0" borderId="0" xfId="0" applyFont="1" applyFill="1" applyAlignment="1">
      <alignment horizontal="center"/>
    </xf>
    <xf numFmtId="0" fontId="30" fillId="0" borderId="0" xfId="0" applyFont="1" applyFill="1" applyAlignment="1">
      <alignment horizontal="center"/>
    </xf>
    <xf numFmtId="0" fontId="22" fillId="0" borderId="25" xfId="0" applyFont="1" applyFill="1" applyBorder="1" applyAlignment="1">
      <alignment horizontal="center"/>
    </xf>
    <xf numFmtId="0" fontId="16" fillId="0" borderId="27" xfId="0" applyFont="1" applyFill="1" applyBorder="1" applyAlignment="1">
      <alignment horizontal="center"/>
    </xf>
    <xf numFmtId="0" fontId="22" fillId="0" borderId="13" xfId="0" applyFont="1" applyFill="1" applyBorder="1" applyAlignment="1">
      <alignment horizontal="center"/>
    </xf>
    <xf numFmtId="0" fontId="31" fillId="0" borderId="19" xfId="0" applyFont="1" applyFill="1" applyBorder="1" applyAlignment="1">
      <alignment horizontal="center"/>
    </xf>
    <xf numFmtId="0" fontId="32" fillId="0" borderId="25" xfId="0" applyFont="1" applyFill="1" applyBorder="1" applyAlignment="1">
      <alignment horizontal="center"/>
    </xf>
    <xf numFmtId="0" fontId="0" fillId="0" borderId="0" xfId="0" applyFont="1" applyFill="1" applyAlignment="1">
      <alignment horizontal="center"/>
    </xf>
    <xf numFmtId="0" fontId="0" fillId="0" borderId="0" xfId="0" applyFont="1" applyFill="1" applyAlignment="1"/>
    <xf numFmtId="0" fontId="16" fillId="0" borderId="33" xfId="0" applyFont="1" applyFill="1" applyBorder="1" applyAlignment="1">
      <alignment horizontal="center"/>
    </xf>
    <xf numFmtId="0" fontId="16" fillId="0" borderId="34" xfId="0" applyFont="1" applyFill="1" applyBorder="1" applyAlignment="1"/>
    <xf numFmtId="0" fontId="16" fillId="0" borderId="35" xfId="0" applyFont="1" applyFill="1" applyBorder="1" applyAlignment="1"/>
    <xf numFmtId="0" fontId="16" fillId="0" borderId="33" xfId="0" applyFont="1" applyFill="1" applyBorder="1" applyAlignment="1">
      <alignment horizontal="center" vertical="center" wrapText="1"/>
    </xf>
    <xf numFmtId="0" fontId="16" fillId="0" borderId="35" xfId="0" applyFont="1" applyFill="1" applyBorder="1" applyAlignment="1">
      <alignment horizontal="center" vertical="center" wrapText="1"/>
    </xf>
    <xf numFmtId="0" fontId="16" fillId="0" borderId="37" xfId="0" applyFont="1" applyFill="1" applyBorder="1" applyAlignment="1">
      <alignment horizontal="center" wrapText="1"/>
    </xf>
    <xf numFmtId="0" fontId="2" fillId="0" borderId="0" xfId="0" applyFont="1" applyAlignment="1">
      <alignment horizontal="center"/>
    </xf>
    <xf numFmtId="0" fontId="4" fillId="0" borderId="0" xfId="0" applyFont="1" applyAlignment="1">
      <alignment horizontal="center"/>
    </xf>
    <xf numFmtId="0" fontId="11" fillId="0" borderId="0" xfId="0" applyFont="1" applyBorder="1" applyAlignment="1">
      <alignment horizontal="center"/>
    </xf>
    <xf numFmtId="164" fontId="13" fillId="0" borderId="8" xfId="2" applyNumberFormat="1" applyFont="1" applyBorder="1" applyAlignment="1">
      <alignment horizontal="center"/>
    </xf>
    <xf numFmtId="0" fontId="13" fillId="0" borderId="8" xfId="0" applyFont="1" applyBorder="1" applyAlignment="1">
      <alignment horizontal="center"/>
    </xf>
    <xf numFmtId="0" fontId="13" fillId="0" borderId="20" xfId="0" applyFont="1" applyBorder="1" applyAlignment="1">
      <alignment horizontal="center"/>
    </xf>
    <xf numFmtId="0" fontId="13" fillId="4" borderId="74" xfId="0" applyFont="1" applyFill="1" applyBorder="1" applyAlignment="1">
      <alignment horizontal="center"/>
    </xf>
    <xf numFmtId="0" fontId="13" fillId="4" borderId="75" xfId="0" applyFont="1" applyFill="1" applyBorder="1" applyAlignment="1">
      <alignment horizontal="center"/>
    </xf>
    <xf numFmtId="0" fontId="36" fillId="4" borderId="0" xfId="0" applyFont="1" applyFill="1" applyAlignment="1">
      <alignment horizontal="center"/>
    </xf>
    <xf numFmtId="0" fontId="13" fillId="4" borderId="69" xfId="0" applyFont="1" applyFill="1" applyBorder="1" applyAlignment="1">
      <alignment horizontal="center"/>
    </xf>
    <xf numFmtId="0" fontId="13" fillId="4" borderId="70" xfId="0" applyFont="1" applyFill="1" applyBorder="1" applyAlignment="1">
      <alignment horizontal="center"/>
    </xf>
    <xf numFmtId="169" fontId="13" fillId="4" borderId="71" xfId="1" applyNumberFormat="1" applyFont="1" applyFill="1" applyBorder="1" applyAlignment="1">
      <alignment horizontal="center"/>
    </xf>
    <xf numFmtId="0" fontId="0" fillId="0" borderId="72" xfId="0" applyBorder="1" applyAlignment="1">
      <alignment horizontal="center"/>
    </xf>
    <xf numFmtId="0" fontId="0" fillId="0" borderId="73" xfId="0" applyBorder="1" applyAlignment="1">
      <alignment horizontal="center"/>
    </xf>
    <xf numFmtId="0" fontId="4" fillId="0" borderId="0" xfId="0" applyFont="1" applyFill="1" applyAlignment="1">
      <alignment horizontal="center"/>
    </xf>
    <xf numFmtId="0" fontId="37" fillId="0" borderId="0" xfId="0" applyFont="1" applyAlignment="1">
      <alignment horizontal="center"/>
    </xf>
    <xf numFmtId="0" fontId="11" fillId="5" borderId="8" xfId="0" applyFont="1" applyFill="1" applyBorder="1" applyAlignment="1">
      <alignment horizontal="center"/>
    </xf>
    <xf numFmtId="0" fontId="13" fillId="0" borderId="19" xfId="0" applyFont="1" applyBorder="1" applyAlignment="1">
      <alignment horizontal="center"/>
    </xf>
    <xf numFmtId="0" fontId="13" fillId="0" borderId="13" xfId="0" applyFont="1" applyBorder="1" applyAlignment="1">
      <alignment horizontal="center"/>
    </xf>
    <xf numFmtId="0" fontId="13" fillId="0" borderId="19" xfId="0" applyFont="1" applyFill="1" applyBorder="1" applyAlignment="1">
      <alignment horizontal="center"/>
    </xf>
    <xf numFmtId="0" fontId="13" fillId="0" borderId="25" xfId="0" applyFont="1" applyFill="1" applyBorder="1" applyAlignment="1">
      <alignment horizontal="center"/>
    </xf>
    <xf numFmtId="0" fontId="13" fillId="0" borderId="13" xfId="0" applyFont="1" applyFill="1" applyBorder="1" applyAlignment="1">
      <alignment horizontal="center"/>
    </xf>
    <xf numFmtId="0" fontId="38" fillId="0" borderId="21" xfId="0" applyFont="1" applyBorder="1" applyAlignment="1">
      <alignment horizontal="center"/>
    </xf>
    <xf numFmtId="0" fontId="39" fillId="0" borderId="23" xfId="0" applyFont="1" applyBorder="1" applyAlignment="1">
      <alignment horizontal="center"/>
    </xf>
    <xf numFmtId="0" fontId="39" fillId="0" borderId="8" xfId="0" applyFont="1" applyBorder="1" applyAlignment="1">
      <alignment horizontal="center"/>
    </xf>
    <xf numFmtId="0" fontId="39" fillId="0" borderId="24" xfId="0" applyFont="1" applyBorder="1" applyAlignment="1">
      <alignment horizontal="center"/>
    </xf>
    <xf numFmtId="0" fontId="39" fillId="0" borderId="23" xfId="0" applyFont="1" applyFill="1" applyBorder="1" applyAlignment="1">
      <alignment horizontal="center"/>
    </xf>
    <xf numFmtId="0" fontId="39" fillId="0" borderId="8" xfId="0" applyFont="1" applyFill="1" applyBorder="1" applyAlignment="1">
      <alignment horizontal="center"/>
    </xf>
    <xf numFmtId="0" fontId="39" fillId="0" borderId="24" xfId="0" applyFont="1" applyFill="1" applyBorder="1" applyAlignment="1">
      <alignment horizontal="center"/>
    </xf>
    <xf numFmtId="0" fontId="13" fillId="0" borderId="0" xfId="0" applyFont="1" applyAlignment="1">
      <alignment horizontal="center"/>
    </xf>
    <xf numFmtId="0" fontId="13" fillId="0" borderId="14" xfId="0" applyFont="1" applyBorder="1" applyAlignment="1">
      <alignment horizontal="center"/>
    </xf>
    <xf numFmtId="0" fontId="13" fillId="0" borderId="16" xfId="0" applyFont="1" applyBorder="1" applyAlignment="1">
      <alignment horizontal="center"/>
    </xf>
    <xf numFmtId="0" fontId="13" fillId="0" borderId="98" xfId="0" applyFont="1" applyBorder="1" applyAlignment="1">
      <alignment horizontal="center"/>
    </xf>
    <xf numFmtId="0" fontId="13" fillId="0" borderId="99" xfId="0" applyFont="1" applyBorder="1" applyAlignment="1">
      <alignment horizontal="center"/>
    </xf>
    <xf numFmtId="0" fontId="13" fillId="0" borderId="15" xfId="0" applyFont="1" applyBorder="1" applyAlignment="1">
      <alignment horizontal="center"/>
    </xf>
    <xf numFmtId="0" fontId="4" fillId="0" borderId="0" xfId="0" applyFont="1" applyAlignment="1" applyProtection="1">
      <alignment horizontal="center"/>
    </xf>
    <xf numFmtId="0" fontId="6" fillId="0" borderId="0" xfId="0" applyFont="1" applyAlignment="1" applyProtection="1">
      <alignment horizontal="center"/>
    </xf>
    <xf numFmtId="0" fontId="11" fillId="0" borderId="105" xfId="0" applyFont="1" applyBorder="1" applyAlignment="1">
      <alignment horizontal="center"/>
    </xf>
    <xf numFmtId="0" fontId="11" fillId="0" borderId="16" xfId="0" applyFont="1" applyBorder="1" applyAlignment="1">
      <alignment horizontal="center"/>
    </xf>
    <xf numFmtId="0" fontId="11" fillId="0" borderId="15" xfId="0" applyFont="1" applyBorder="1" applyAlignment="1">
      <alignment horizontal="center"/>
    </xf>
    <xf numFmtId="0" fontId="11" fillId="0" borderId="111" xfId="0" applyFont="1" applyBorder="1" applyAlignment="1">
      <alignment horizontal="center"/>
    </xf>
    <xf numFmtId="0" fontId="4" fillId="0" borderId="0" xfId="0" quotePrefix="1" applyFont="1" applyAlignment="1" applyProtection="1">
      <alignment horizontal="center"/>
    </xf>
    <xf numFmtId="0" fontId="37" fillId="0" borderId="0" xfId="0" quotePrefix="1" applyFont="1" applyAlignment="1" applyProtection="1">
      <alignment horizontal="center"/>
    </xf>
    <xf numFmtId="0" fontId="11" fillId="0" borderId="118" xfId="0" quotePrefix="1" applyFont="1" applyBorder="1" applyAlignment="1" applyProtection="1">
      <alignment horizontal="center"/>
    </xf>
    <xf numFmtId="0" fontId="11" fillId="0" borderId="16" xfId="0" quotePrefix="1" applyFont="1" applyBorder="1" applyAlignment="1" applyProtection="1">
      <alignment horizontal="center"/>
    </xf>
    <xf numFmtId="0" fontId="11" fillId="0" borderId="111" xfId="0" quotePrefix="1" applyFont="1" applyBorder="1" applyAlignment="1" applyProtection="1">
      <alignment horizontal="center"/>
    </xf>
    <xf numFmtId="0" fontId="11" fillId="0" borderId="15" xfId="0" quotePrefix="1" applyFont="1" applyBorder="1" applyAlignment="1" applyProtection="1">
      <alignment horizontal="center"/>
    </xf>
    <xf numFmtId="0" fontId="11" fillId="0" borderId="0" xfId="0" applyFont="1" applyAlignment="1" applyProtection="1">
      <alignment horizontal="center"/>
    </xf>
    <xf numFmtId="0" fontId="13" fillId="0" borderId="0" xfId="0" applyFont="1" applyBorder="1" applyAlignment="1" applyProtection="1">
      <alignment horizontal="center" vertical="center"/>
    </xf>
    <xf numFmtId="0" fontId="13" fillId="0" borderId="118" xfId="0" applyFont="1" applyBorder="1" applyAlignment="1" applyProtection="1">
      <alignment horizontal="center"/>
    </xf>
    <xf numFmtId="0" fontId="13" fillId="0" borderId="16" xfId="0" applyFont="1" applyBorder="1" applyAlignment="1" applyProtection="1">
      <alignment horizontal="center"/>
    </xf>
    <xf numFmtId="0" fontId="13" fillId="0" borderId="15" xfId="0" applyFont="1" applyBorder="1" applyAlignment="1" applyProtection="1">
      <alignment horizontal="center"/>
    </xf>
    <xf numFmtId="0" fontId="13" fillId="0" borderId="118" xfId="0" applyFont="1" applyBorder="1" applyAlignment="1">
      <alignment horizontal="center"/>
    </xf>
    <xf numFmtId="0" fontId="13" fillId="0" borderId="111" xfId="0" applyFont="1" applyBorder="1" applyAlignment="1">
      <alignment horizontal="center"/>
    </xf>
    <xf numFmtId="0" fontId="11" fillId="0" borderId="0" xfId="0" quotePrefix="1" applyFont="1" applyAlignment="1" applyProtection="1">
      <alignment horizontal="center"/>
    </xf>
    <xf numFmtId="0" fontId="13" fillId="0" borderId="106" xfId="0" applyFont="1" applyBorder="1" applyAlignment="1" applyProtection="1">
      <alignment horizontal="center" vertical="center"/>
    </xf>
    <xf numFmtId="0" fontId="0" fillId="0" borderId="8" xfId="0" applyBorder="1" applyAlignment="1"/>
    <xf numFmtId="0" fontId="13" fillId="0" borderId="0" xfId="0" applyFont="1" applyAlignment="1" applyProtection="1">
      <alignment horizontal="center"/>
    </xf>
    <xf numFmtId="0" fontId="11" fillId="0" borderId="118" xfId="0" applyFont="1" applyBorder="1" applyAlignment="1">
      <alignment horizontal="center"/>
    </xf>
    <xf numFmtId="0" fontId="45" fillId="0" borderId="16" xfId="0" applyFont="1" applyBorder="1" applyAlignment="1">
      <alignment horizontal="center"/>
    </xf>
    <xf numFmtId="0" fontId="45" fillId="0" borderId="15" xfId="0" applyFont="1" applyBorder="1" applyAlignment="1">
      <alignment horizontal="center"/>
    </xf>
    <xf numFmtId="0" fontId="45" fillId="0" borderId="111" xfId="0" applyFont="1" applyBorder="1" applyAlignment="1">
      <alignment horizontal="center"/>
    </xf>
    <xf numFmtId="0" fontId="13" fillId="0" borderId="107" xfId="0" applyFont="1" applyBorder="1" applyAlignment="1">
      <alignment horizontal="center"/>
    </xf>
    <xf numFmtId="0" fontId="7" fillId="0" borderId="0" xfId="3" applyFont="1" applyAlignment="1">
      <alignment horizontal="center"/>
    </xf>
    <xf numFmtId="0" fontId="59" fillId="0" borderId="0" xfId="0" applyFont="1" applyAlignment="1">
      <alignment horizontal="left" wrapText="1"/>
    </xf>
    <xf numFmtId="0" fontId="31" fillId="0" borderId="22" xfId="0" applyFont="1" applyFill="1" applyBorder="1" applyAlignment="1">
      <alignment horizontal="center" vertical="top" wrapText="1"/>
    </xf>
    <xf numFmtId="0" fontId="11" fillId="0" borderId="0" xfId="0" applyFont="1" applyFill="1" applyAlignment="1">
      <alignment horizontal="center"/>
    </xf>
    <xf numFmtId="0" fontId="11" fillId="0" borderId="0" xfId="0" applyFont="1" applyFill="1" applyAlignment="1">
      <alignment horizontal="center"/>
    </xf>
    <xf numFmtId="168" fontId="23" fillId="0" borderId="0" xfId="0" applyNumberFormat="1" applyFont="1" applyFill="1"/>
    <xf numFmtId="0" fontId="18" fillId="0" borderId="0" xfId="0" applyFont="1" applyFill="1" applyBorder="1"/>
    <xf numFmtId="3" fontId="18" fillId="0" borderId="0" xfId="0" applyNumberFormat="1" applyFont="1" applyFill="1" applyBorder="1" applyAlignment="1">
      <alignment horizontal="right"/>
    </xf>
    <xf numFmtId="0" fontId="1" fillId="0" borderId="0" xfId="3" applyFont="1" applyFill="1"/>
    <xf numFmtId="0" fontId="23" fillId="0" borderId="0" xfId="0" applyFont="1" applyFill="1" applyAlignment="1">
      <alignment vertical="top" wrapText="1"/>
    </xf>
    <xf numFmtId="0" fontId="23" fillId="0" borderId="0" xfId="0" applyFont="1" applyFill="1" applyBorder="1" applyAlignment="1">
      <alignment vertical="top" wrapText="1"/>
    </xf>
    <xf numFmtId="0" fontId="16" fillId="0" borderId="26" xfId="0" applyFont="1" applyFill="1" applyBorder="1" applyAlignment="1">
      <alignment horizontal="center" vertical="top" wrapText="1"/>
    </xf>
    <xf numFmtId="0" fontId="16" fillId="0" borderId="0" xfId="0" applyFont="1" applyFill="1" applyBorder="1" applyAlignment="1">
      <alignment horizontal="center" vertical="top" wrapText="1"/>
    </xf>
    <xf numFmtId="0" fontId="16" fillId="0" borderId="0" xfId="0" applyFont="1" applyFill="1" applyAlignment="1">
      <alignment horizontal="center" vertical="top" wrapText="1"/>
    </xf>
    <xf numFmtId="0" fontId="16" fillId="0" borderId="26" xfId="0" applyFont="1" applyFill="1" applyBorder="1" applyAlignment="1">
      <alignment horizontal="center" vertical="top" wrapText="1"/>
    </xf>
    <xf numFmtId="0" fontId="15" fillId="0" borderId="0" xfId="0" applyFont="1" applyFill="1" applyAlignment="1">
      <alignment vertical="top" wrapText="1"/>
    </xf>
    <xf numFmtId="0" fontId="24" fillId="0" borderId="0" xfId="0" applyFont="1" applyFill="1"/>
    <xf numFmtId="0" fontId="0" fillId="0" borderId="0" xfId="0" applyFill="1" applyAlignment="1"/>
    <xf numFmtId="0" fontId="13" fillId="0" borderId="0" xfId="0" applyFont="1" applyFill="1"/>
    <xf numFmtId="43" fontId="13" fillId="0" borderId="0" xfId="1" applyFont="1" applyFill="1" applyBorder="1" applyAlignment="1">
      <alignment horizontal="center"/>
    </xf>
    <xf numFmtId="43" fontId="13" fillId="0" borderId="8" xfId="1" applyFont="1" applyFill="1" applyBorder="1" applyAlignment="1">
      <alignment horizontal="center"/>
    </xf>
    <xf numFmtId="0" fontId="12" fillId="0" borderId="19" xfId="0" applyFont="1" applyFill="1" applyBorder="1"/>
    <xf numFmtId="0" fontId="13" fillId="0" borderId="13" xfId="0" applyFont="1" applyFill="1" applyBorder="1"/>
    <xf numFmtId="43" fontId="13" fillId="0" borderId="19" xfId="1" applyFont="1" applyFill="1" applyBorder="1" applyAlignment="1">
      <alignment horizontal="center"/>
    </xf>
    <xf numFmtId="43" fontId="13" fillId="0" borderId="13" xfId="1" applyFont="1" applyFill="1" applyBorder="1" applyAlignment="1">
      <alignment horizontal="center"/>
    </xf>
    <xf numFmtId="0" fontId="12" fillId="0" borderId="21" xfId="0" applyFont="1" applyFill="1" applyBorder="1"/>
    <xf numFmtId="0" fontId="13" fillId="0" borderId="18" xfId="0" applyFont="1" applyFill="1" applyBorder="1"/>
    <xf numFmtId="169" fontId="13" fillId="0" borderId="21" xfId="1" applyNumberFormat="1" applyFont="1" applyFill="1" applyBorder="1" applyAlignment="1">
      <alignment horizontal="center"/>
    </xf>
    <xf numFmtId="169" fontId="13" fillId="0" borderId="18" xfId="1" applyNumberFormat="1" applyFont="1" applyFill="1" applyBorder="1" applyAlignment="1">
      <alignment horizontal="center"/>
    </xf>
    <xf numFmtId="0" fontId="13" fillId="0" borderId="23" xfId="0" applyFont="1" applyFill="1" applyBorder="1" applyAlignment="1">
      <alignment horizontal="center"/>
    </xf>
    <xf numFmtId="0" fontId="13" fillId="0" borderId="24" xfId="0" applyFont="1" applyFill="1" applyBorder="1" applyAlignment="1">
      <alignment horizontal="center"/>
    </xf>
    <xf numFmtId="169" fontId="12" fillId="0" borderId="21" xfId="1" applyNumberFormat="1" applyFont="1" applyFill="1" applyBorder="1" applyAlignment="1">
      <alignment horizontal="center"/>
    </xf>
    <xf numFmtId="0" fontId="13" fillId="0" borderId="14" xfId="0" applyFont="1" applyFill="1" applyBorder="1"/>
    <xf numFmtId="0" fontId="13" fillId="0" borderId="16" xfId="0" applyFont="1" applyFill="1" applyBorder="1"/>
    <xf numFmtId="3" fontId="25" fillId="0" borderId="14" xfId="0" applyNumberFormat="1" applyFont="1" applyFill="1" applyBorder="1"/>
    <xf numFmtId="9" fontId="13" fillId="0" borderId="15" xfId="2" applyNumberFormat="1" applyFont="1" applyFill="1" applyBorder="1" applyAlignment="1">
      <alignment horizontal="center"/>
    </xf>
    <xf numFmtId="168" fontId="13" fillId="0" borderId="16" xfId="0" applyNumberFormat="1" applyFont="1" applyFill="1" applyBorder="1"/>
    <xf numFmtId="49" fontId="25" fillId="0" borderId="14" xfId="0" applyNumberFormat="1" applyFont="1" applyFill="1" applyBorder="1"/>
    <xf numFmtId="0" fontId="25" fillId="0" borderId="16" xfId="0" applyFont="1" applyFill="1" applyBorder="1"/>
    <xf numFmtId="10" fontId="25" fillId="0" borderId="15" xfId="2" applyNumberFormat="1" applyFont="1" applyFill="1" applyBorder="1" applyAlignment="1">
      <alignment horizontal="center"/>
    </xf>
    <xf numFmtId="168" fontId="25" fillId="0" borderId="16" xfId="0" applyNumberFormat="1" applyFont="1" applyFill="1" applyBorder="1"/>
    <xf numFmtId="49" fontId="25" fillId="0" borderId="21" xfId="0" applyNumberFormat="1" applyFont="1" applyFill="1" applyBorder="1"/>
    <xf numFmtId="0" fontId="25" fillId="0" borderId="0" xfId="0" applyFont="1" applyFill="1" applyBorder="1"/>
    <xf numFmtId="3" fontId="25" fillId="0" borderId="21" xfId="0" applyNumberFormat="1" applyFont="1" applyFill="1" applyBorder="1"/>
    <xf numFmtId="10" fontId="25" fillId="0" borderId="18" xfId="2" applyNumberFormat="1" applyFont="1" applyFill="1" applyBorder="1" applyAlignment="1">
      <alignment horizontal="center"/>
    </xf>
    <xf numFmtId="168" fontId="25" fillId="0" borderId="0" xfId="0" applyNumberFormat="1" applyFont="1" applyFill="1" applyBorder="1"/>
    <xf numFmtId="49" fontId="25" fillId="0" borderId="19" xfId="0" applyNumberFormat="1" applyFont="1" applyFill="1" applyBorder="1"/>
    <xf numFmtId="0" fontId="25" fillId="0" borderId="25" xfId="0" applyFont="1" applyFill="1" applyBorder="1"/>
    <xf numFmtId="3" fontId="25" fillId="0" borderId="19" xfId="0" applyNumberFormat="1" applyFont="1" applyFill="1" applyBorder="1"/>
    <xf numFmtId="10" fontId="25" fillId="0" borderId="13" xfId="2" applyNumberFormat="1" applyFont="1" applyFill="1" applyBorder="1" applyAlignment="1">
      <alignment horizontal="center"/>
    </xf>
    <xf numFmtId="168" fontId="25" fillId="0" borderId="25" xfId="0" applyNumberFormat="1" applyFont="1" applyFill="1" applyBorder="1"/>
    <xf numFmtId="49" fontId="13" fillId="0" borderId="21" xfId="0" applyNumberFormat="1" applyFont="1" applyFill="1" applyBorder="1"/>
    <xf numFmtId="49" fontId="13" fillId="0" borderId="0" xfId="0" applyNumberFormat="1" applyFont="1" applyFill="1" applyBorder="1"/>
    <xf numFmtId="3" fontId="13" fillId="0" borderId="21" xfId="0" applyNumberFormat="1" applyFont="1" applyFill="1" applyBorder="1"/>
    <xf numFmtId="10" fontId="13" fillId="0" borderId="18" xfId="2" applyNumberFormat="1" applyFont="1" applyFill="1" applyBorder="1" applyAlignment="1">
      <alignment horizontal="center"/>
    </xf>
    <xf numFmtId="168" fontId="13" fillId="0" borderId="0" xfId="0" applyNumberFormat="1" applyFont="1" applyFill="1" applyBorder="1"/>
    <xf numFmtId="0" fontId="13" fillId="0" borderId="0" xfId="0" applyFont="1" applyFill="1" applyBorder="1"/>
    <xf numFmtId="10" fontId="13" fillId="0" borderId="0" xfId="2" applyNumberFormat="1" applyFont="1" applyFill="1" applyBorder="1" applyAlignment="1">
      <alignment horizontal="center"/>
    </xf>
    <xf numFmtId="168" fontId="13" fillId="0" borderId="21" xfId="0" applyNumberFormat="1" applyFont="1" applyFill="1" applyBorder="1"/>
    <xf numFmtId="49" fontId="12" fillId="0" borderId="21" xfId="0" applyNumberFormat="1" applyFont="1" applyFill="1" applyBorder="1"/>
    <xf numFmtId="3" fontId="12" fillId="0" borderId="21" xfId="4" applyNumberFormat="1" applyFont="1" applyFill="1" applyBorder="1"/>
    <xf numFmtId="10" fontId="12" fillId="0" borderId="18" xfId="2" applyNumberFormat="1" applyFont="1" applyFill="1" applyBorder="1" applyAlignment="1">
      <alignment horizontal="center"/>
    </xf>
    <xf numFmtId="168" fontId="12" fillId="0" borderId="21" xfId="0" applyNumberFormat="1" applyFont="1" applyFill="1" applyBorder="1"/>
    <xf numFmtId="168" fontId="12" fillId="0" borderId="0" xfId="0" applyNumberFormat="1" applyFont="1" applyFill="1"/>
    <xf numFmtId="49" fontId="12" fillId="0" borderId="23" xfId="0" applyNumberFormat="1" applyFont="1" applyFill="1" applyBorder="1"/>
    <xf numFmtId="49" fontId="12" fillId="0" borderId="8" xfId="0" applyNumberFormat="1" applyFont="1" applyFill="1" applyBorder="1"/>
    <xf numFmtId="3" fontId="12" fillId="0" borderId="23" xfId="4" applyNumberFormat="1" applyFont="1" applyFill="1" applyBorder="1"/>
    <xf numFmtId="10" fontId="12" fillId="0" borderId="24" xfId="2" applyNumberFormat="1" applyFont="1" applyFill="1" applyBorder="1" applyAlignment="1">
      <alignment horizontal="center"/>
    </xf>
    <xf numFmtId="168" fontId="12" fillId="0" borderId="23" xfId="0" applyNumberFormat="1" applyFont="1" applyFill="1" applyBorder="1"/>
    <xf numFmtId="49" fontId="12" fillId="0" borderId="25" xfId="0" applyNumberFormat="1" applyFont="1" applyFill="1" applyBorder="1"/>
    <xf numFmtId="3" fontId="12" fillId="0" borderId="25" xfId="4" applyNumberFormat="1" applyFont="1" applyFill="1" applyBorder="1"/>
    <xf numFmtId="10" fontId="12" fillId="0" borderId="25" xfId="2" applyNumberFormat="1" applyFont="1" applyFill="1" applyBorder="1" applyAlignment="1">
      <alignment horizontal="center"/>
    </xf>
    <xf numFmtId="168" fontId="12" fillId="0" borderId="25" xfId="0" applyNumberFormat="1" applyFont="1" applyFill="1" applyBorder="1"/>
    <xf numFmtId="49" fontId="12" fillId="0" borderId="0" xfId="0" applyNumberFormat="1" applyFont="1" applyFill="1" applyBorder="1"/>
    <xf numFmtId="3" fontId="12" fillId="0" borderId="0" xfId="4" applyNumberFormat="1" applyFont="1" applyFill="1" applyBorder="1"/>
    <xf numFmtId="10" fontId="12" fillId="0" borderId="0" xfId="2" applyNumberFormat="1" applyFont="1" applyFill="1" applyBorder="1" applyAlignment="1">
      <alignment horizontal="center"/>
    </xf>
    <xf numFmtId="168" fontId="12" fillId="0" borderId="0" xfId="0" applyNumberFormat="1" applyFont="1" applyFill="1" applyBorder="1"/>
    <xf numFmtId="3" fontId="12" fillId="0" borderId="21" xfId="5" applyNumberFormat="1" applyFont="1" applyFill="1" applyBorder="1"/>
    <xf numFmtId="175" fontId="12" fillId="0" borderId="0" xfId="5" applyNumberFormat="1" applyFont="1" applyFill="1"/>
    <xf numFmtId="0" fontId="26" fillId="0" borderId="0" xfId="0" applyFont="1" applyFill="1"/>
    <xf numFmtId="168" fontId="24" fillId="0" borderId="0" xfId="0" applyNumberFormat="1" applyFont="1" applyFill="1"/>
    <xf numFmtId="0" fontId="13" fillId="0" borderId="19" xfId="0" applyFont="1" applyFill="1" applyBorder="1"/>
    <xf numFmtId="0" fontId="12" fillId="0" borderId="13" xfId="0" applyFont="1" applyFill="1" applyBorder="1"/>
    <xf numFmtId="168" fontId="12" fillId="0" borderId="21" xfId="0" applyNumberFormat="1" applyFont="1" applyFill="1" applyBorder="1" applyAlignment="1">
      <alignment horizontal="center"/>
    </xf>
    <xf numFmtId="0" fontId="13" fillId="0" borderId="21" xfId="0" applyFont="1" applyFill="1" applyBorder="1" applyAlignment="1">
      <alignment horizontal="center"/>
    </xf>
    <xf numFmtId="0" fontId="13" fillId="0" borderId="18" xfId="0" applyFont="1" applyFill="1" applyBorder="1" applyAlignment="1">
      <alignment horizontal="center"/>
    </xf>
    <xf numFmtId="3" fontId="13" fillId="0" borderId="14" xfId="0" applyNumberFormat="1" applyFont="1" applyFill="1" applyBorder="1"/>
    <xf numFmtId="10" fontId="25" fillId="0" borderId="0" xfId="2" applyNumberFormat="1" applyFont="1" applyFill="1" applyBorder="1" applyAlignment="1">
      <alignment horizontal="center"/>
    </xf>
    <xf numFmtId="168" fontId="25" fillId="0" borderId="19" xfId="0" applyNumberFormat="1" applyFont="1" applyFill="1" applyBorder="1"/>
    <xf numFmtId="49" fontId="13" fillId="0" borderId="21" xfId="0" applyNumberFormat="1" applyFont="1" applyFill="1" applyBorder="1" applyAlignment="1">
      <alignment horizontal="left"/>
    </xf>
    <xf numFmtId="0" fontId="13" fillId="0" borderId="21" xfId="0" applyFont="1" applyFill="1" applyBorder="1"/>
    <xf numFmtId="0" fontId="3" fillId="0" borderId="0" xfId="0" applyFont="1" applyFill="1"/>
    <xf numFmtId="10" fontId="12" fillId="0" borderId="0" xfId="2" applyNumberFormat="1" applyFont="1" applyFill="1" applyAlignment="1">
      <alignment horizontal="center"/>
    </xf>
    <xf numFmtId="3" fontId="12" fillId="0" borderId="21" xfId="0" applyNumberFormat="1" applyFont="1" applyFill="1" applyBorder="1"/>
    <xf numFmtId="0" fontId="13" fillId="0" borderId="23" xfId="0" applyFont="1" applyFill="1" applyBorder="1"/>
    <xf numFmtId="0" fontId="24" fillId="0" borderId="0" xfId="0" applyFont="1" applyFill="1" applyAlignment="1">
      <alignment horizontal="center"/>
    </xf>
    <xf numFmtId="0" fontId="0" fillId="0" borderId="0" xfId="0" applyFill="1" applyAlignment="1">
      <alignment horizontal="center"/>
    </xf>
    <xf numFmtId="0" fontId="27" fillId="0" borderId="0" xfId="0" applyFont="1" applyFill="1"/>
    <xf numFmtId="49" fontId="24" fillId="0" borderId="0" xfId="0" applyNumberFormat="1" applyFont="1" applyFill="1"/>
    <xf numFmtId="3" fontId="24" fillId="0" borderId="0" xfId="0" applyNumberFormat="1" applyFont="1" applyFill="1"/>
    <xf numFmtId="10" fontId="24" fillId="0" borderId="0" xfId="2" applyNumberFormat="1" applyFont="1" applyFill="1" applyAlignment="1">
      <alignment horizontal="center"/>
    </xf>
    <xf numFmtId="0" fontId="12" fillId="0" borderId="23" xfId="0" applyFont="1" applyFill="1" applyBorder="1"/>
    <xf numFmtId="0" fontId="0" fillId="0" borderId="39" xfId="0" applyFont="1" applyFill="1" applyBorder="1" applyAlignment="1">
      <alignment horizontal="center" wrapText="1"/>
    </xf>
    <xf numFmtId="0" fontId="0" fillId="0" borderId="40" xfId="0" applyFont="1" applyFill="1" applyBorder="1" applyAlignment="1">
      <alignment horizontal="center" wrapText="1"/>
    </xf>
    <xf numFmtId="0" fontId="16" fillId="0" borderId="53" xfId="0" applyFont="1" applyFill="1" applyBorder="1" applyAlignment="1">
      <alignment horizontal="center" vertical="top" wrapText="1"/>
    </xf>
    <xf numFmtId="0" fontId="15" fillId="0" borderId="0" xfId="0" applyFont="1" applyFill="1" applyBorder="1" applyAlignment="1">
      <alignment horizontal="center"/>
    </xf>
    <xf numFmtId="0" fontId="16" fillId="0" borderId="14" xfId="0" applyFont="1" applyFill="1" applyBorder="1" applyAlignment="1">
      <alignment horizontal="center" vertical="top" wrapText="1"/>
    </xf>
    <xf numFmtId="0" fontId="16" fillId="0" borderId="20" xfId="0" applyFont="1" applyFill="1" applyBorder="1" applyAlignment="1">
      <alignment horizontal="center" vertical="top" wrapText="1"/>
    </xf>
    <xf numFmtId="0" fontId="16" fillId="0" borderId="16" xfId="0" applyFont="1" applyFill="1" applyBorder="1" applyAlignment="1">
      <alignment horizontal="center" vertical="top" wrapText="1"/>
    </xf>
    <xf numFmtId="0" fontId="16" fillId="0" borderId="15" xfId="0" applyFont="1" applyFill="1" applyBorder="1" applyAlignment="1">
      <alignment horizontal="center" vertical="top" wrapText="1"/>
    </xf>
    <xf numFmtId="0" fontId="16" fillId="0" borderId="21" xfId="0" applyFont="1" applyFill="1" applyBorder="1" applyAlignment="1">
      <alignment horizontal="center" vertical="top" wrapText="1"/>
    </xf>
    <xf numFmtId="0" fontId="16" fillId="0" borderId="17" xfId="0" applyFont="1" applyFill="1" applyBorder="1" applyAlignment="1">
      <alignment horizontal="center" vertical="top" wrapText="1"/>
    </xf>
    <xf numFmtId="3" fontId="15" fillId="0" borderId="17" xfId="0" applyNumberFormat="1" applyFont="1" applyFill="1" applyBorder="1" applyAlignment="1">
      <alignment vertical="top" wrapText="1"/>
    </xf>
    <xf numFmtId="0" fontId="15" fillId="0" borderId="17" xfId="0" applyFont="1" applyFill="1" applyBorder="1" applyAlignment="1">
      <alignment vertical="top" wrapText="1"/>
    </xf>
    <xf numFmtId="0" fontId="15" fillId="0" borderId="18" xfId="0" applyFont="1" applyFill="1" applyBorder="1" applyAlignment="1">
      <alignment vertical="top" wrapText="1"/>
    </xf>
    <xf numFmtId="177" fontId="15" fillId="0" borderId="17" xfId="0" applyNumberFormat="1" applyFont="1" applyFill="1" applyBorder="1" applyAlignment="1">
      <alignment vertical="top" wrapText="1"/>
    </xf>
    <xf numFmtId="177" fontId="15" fillId="0" borderId="0" xfId="0" applyNumberFormat="1" applyFont="1" applyFill="1" applyBorder="1" applyAlignment="1">
      <alignment vertical="top" wrapText="1"/>
    </xf>
    <xf numFmtId="177" fontId="15" fillId="0" borderId="18" xfId="0" applyNumberFormat="1" applyFont="1" applyFill="1" applyBorder="1" applyAlignment="1">
      <alignment vertical="top" wrapText="1"/>
    </xf>
    <xf numFmtId="178" fontId="15" fillId="0" borderId="17" xfId="0" applyNumberFormat="1" applyFont="1" applyFill="1" applyBorder="1" applyAlignment="1">
      <alignment vertical="top" wrapText="1"/>
    </xf>
    <xf numFmtId="178" fontId="15" fillId="0" borderId="0" xfId="0" applyNumberFormat="1" applyFont="1" applyFill="1" applyBorder="1" applyAlignment="1">
      <alignment vertical="top" wrapText="1"/>
    </xf>
    <xf numFmtId="6" fontId="15" fillId="0" borderId="17" xfId="0" applyNumberFormat="1" applyFont="1" applyFill="1" applyBorder="1" applyAlignment="1">
      <alignment vertical="top" wrapText="1"/>
    </xf>
    <xf numFmtId="6" fontId="15" fillId="0" borderId="0" xfId="0" applyNumberFormat="1" applyFont="1" applyFill="1" applyBorder="1" applyAlignment="1">
      <alignment vertical="top" wrapText="1"/>
    </xf>
    <xf numFmtId="6" fontId="15" fillId="0" borderId="18" xfId="0" applyNumberFormat="1" applyFont="1" applyFill="1" applyBorder="1" applyAlignment="1">
      <alignment vertical="top" wrapText="1"/>
    </xf>
    <xf numFmtId="0" fontId="15" fillId="0" borderId="0" xfId="0" applyFont="1" applyFill="1" applyBorder="1" applyAlignment="1">
      <alignment vertical="top" wrapText="1"/>
    </xf>
    <xf numFmtId="178" fontId="15" fillId="0" borderId="22" xfId="0" applyNumberFormat="1" applyFont="1" applyFill="1" applyBorder="1" applyAlignment="1">
      <alignment vertical="top" wrapText="1"/>
    </xf>
    <xf numFmtId="178" fontId="15" fillId="0" borderId="8" xfId="0" applyNumberFormat="1" applyFont="1" applyFill="1" applyBorder="1" applyAlignment="1">
      <alignment vertical="top" wrapText="1"/>
    </xf>
    <xf numFmtId="0" fontId="0" fillId="0" borderId="0" xfId="0" applyFill="1" applyAlignment="1">
      <alignment horizontal="center"/>
    </xf>
    <xf numFmtId="0" fontId="15" fillId="0" borderId="0" xfId="0" applyFont="1" applyFill="1" applyAlignment="1">
      <alignment horizontal="center"/>
    </xf>
    <xf numFmtId="0" fontId="16" fillId="0" borderId="56" xfId="0" applyFont="1" applyFill="1" applyBorder="1" applyAlignment="1">
      <alignment horizontal="center" vertical="top" wrapText="1"/>
    </xf>
    <xf numFmtId="0" fontId="16" fillId="0" borderId="57" xfId="0" applyFont="1" applyFill="1" applyBorder="1" applyAlignment="1">
      <alignment horizontal="center" vertical="top" wrapText="1"/>
    </xf>
    <xf numFmtId="0" fontId="16" fillId="0" borderId="8" xfId="0" applyFont="1" applyFill="1" applyBorder="1" applyAlignment="1">
      <alignment horizontal="center" vertical="top" wrapText="1"/>
    </xf>
    <xf numFmtId="49" fontId="15" fillId="0" borderId="8" xfId="0" applyNumberFormat="1" applyFont="1" applyFill="1" applyBorder="1" applyAlignment="1">
      <alignment horizontal="center" vertical="top" wrapText="1"/>
    </xf>
    <xf numFmtId="0" fontId="35" fillId="0" borderId="8" xfId="0" applyFont="1" applyFill="1" applyBorder="1" applyAlignment="1">
      <alignment horizontal="center" vertical="top" wrapText="1"/>
    </xf>
    <xf numFmtId="0" fontId="16" fillId="0" borderId="0" xfId="0" applyFont="1" applyFill="1" applyBorder="1" applyAlignment="1">
      <alignment vertical="top" wrapText="1"/>
    </xf>
    <xf numFmtId="177" fontId="16" fillId="0" borderId="0" xfId="0" applyNumberFormat="1" applyFont="1" applyFill="1" applyBorder="1" applyAlignment="1">
      <alignment vertical="top" wrapText="1"/>
    </xf>
    <xf numFmtId="178" fontId="16" fillId="0" borderId="0" xfId="0" applyNumberFormat="1" applyFont="1" applyFill="1" applyBorder="1" applyAlignment="1">
      <alignment vertical="top" wrapText="1"/>
    </xf>
    <xf numFmtId="0" fontId="15" fillId="0" borderId="8" xfId="0" applyFont="1" applyFill="1" applyBorder="1" applyAlignment="1">
      <alignment vertical="top" wrapText="1"/>
    </xf>
    <xf numFmtId="177" fontId="15" fillId="0" borderId="8" xfId="0" applyNumberFormat="1" applyFont="1" applyFill="1" applyBorder="1" applyAlignment="1">
      <alignment vertical="top" wrapText="1"/>
    </xf>
    <xf numFmtId="0" fontId="16" fillId="0" borderId="59" xfId="0" applyFont="1" applyFill="1" applyBorder="1" applyAlignment="1">
      <alignment horizontal="center" vertical="top" wrapText="1"/>
    </xf>
    <xf numFmtId="0" fontId="0" fillId="0" borderId="60" xfId="0" applyFill="1" applyBorder="1" applyAlignment="1">
      <alignment horizontal="center" vertical="top" wrapText="1"/>
    </xf>
    <xf numFmtId="0" fontId="16" fillId="0" borderId="0" xfId="0" applyFont="1" applyFill="1" applyBorder="1" applyAlignment="1">
      <alignment horizontal="right" vertical="top" wrapText="1"/>
    </xf>
    <xf numFmtId="177" fontId="16" fillId="0" borderId="0" xfId="0" applyNumberFormat="1" applyFont="1" applyFill="1" applyBorder="1" applyAlignment="1">
      <alignment horizontal="right" vertical="top" wrapText="1"/>
    </xf>
    <xf numFmtId="0" fontId="16" fillId="0" borderId="21" xfId="0" applyFont="1" applyFill="1" applyBorder="1" applyAlignment="1">
      <alignment horizontal="right" vertical="top" wrapText="1"/>
    </xf>
    <xf numFmtId="177" fontId="16" fillId="0" borderId="18" xfId="0" applyNumberFormat="1" applyFont="1" applyFill="1" applyBorder="1" applyAlignment="1">
      <alignment horizontal="right" vertical="top" wrapText="1"/>
    </xf>
    <xf numFmtId="0" fontId="15" fillId="0" borderId="0" xfId="0" applyFont="1" applyFill="1" applyBorder="1" applyAlignment="1">
      <alignment horizontal="right" vertical="top" wrapText="1"/>
    </xf>
    <xf numFmtId="177" fontId="15" fillId="0" borderId="0" xfId="0" applyNumberFormat="1" applyFont="1" applyFill="1" applyBorder="1" applyAlignment="1">
      <alignment horizontal="right" vertical="top" wrapText="1"/>
    </xf>
    <xf numFmtId="0" fontId="15" fillId="0" borderId="21" xfId="0" applyFont="1" applyFill="1" applyBorder="1" applyAlignment="1">
      <alignment horizontal="right" vertical="top" wrapText="1"/>
    </xf>
    <xf numFmtId="177" fontId="15" fillId="0" borderId="18" xfId="0" applyNumberFormat="1" applyFont="1" applyFill="1" applyBorder="1" applyAlignment="1">
      <alignment horizontal="right" vertical="top" wrapText="1"/>
    </xf>
    <xf numFmtId="0" fontId="15" fillId="0" borderId="8" xfId="0" applyFont="1" applyFill="1" applyBorder="1" applyAlignment="1">
      <alignment horizontal="right" vertical="top" wrapText="1"/>
    </xf>
    <xf numFmtId="177" fontId="15" fillId="0" borderId="8" xfId="0" applyNumberFormat="1" applyFont="1" applyFill="1" applyBorder="1" applyAlignment="1">
      <alignment horizontal="right" vertical="top" wrapText="1"/>
    </xf>
    <xf numFmtId="0" fontId="15" fillId="0" borderId="23" xfId="0" applyFont="1" applyFill="1" applyBorder="1" applyAlignment="1">
      <alignment horizontal="right" vertical="top" wrapText="1"/>
    </xf>
    <xf numFmtId="177" fontId="15" fillId="0" borderId="24" xfId="0" applyNumberFormat="1" applyFont="1" applyFill="1" applyBorder="1" applyAlignment="1">
      <alignment horizontal="right" vertical="top" wrapText="1"/>
    </xf>
    <xf numFmtId="0" fontId="23" fillId="0" borderId="0" xfId="0" applyFont="1" applyFill="1" applyAlignment="1">
      <alignment vertical="top"/>
    </xf>
    <xf numFmtId="0" fontId="2" fillId="0" borderId="0" xfId="0" applyFont="1" applyFill="1" applyAlignment="1">
      <alignment horizontal="center"/>
    </xf>
    <xf numFmtId="0" fontId="0" fillId="0" borderId="61" xfId="0" applyFill="1" applyBorder="1" applyAlignment="1">
      <alignment horizontal="center" vertical="top" wrapText="1"/>
    </xf>
    <xf numFmtId="178" fontId="16" fillId="0" borderId="0" xfId="0" applyNumberFormat="1" applyFont="1" applyFill="1" applyBorder="1" applyAlignment="1">
      <alignment horizontal="right" vertical="top" wrapText="1"/>
    </xf>
    <xf numFmtId="178" fontId="16" fillId="0" borderId="21" xfId="0" applyNumberFormat="1" applyFont="1" applyFill="1" applyBorder="1" applyAlignment="1">
      <alignment horizontal="right" vertical="top" wrapText="1"/>
    </xf>
    <xf numFmtId="178" fontId="16" fillId="0" borderId="18" xfId="0" applyNumberFormat="1" applyFont="1" applyFill="1" applyBorder="1" applyAlignment="1">
      <alignment horizontal="right" vertical="top" wrapText="1"/>
    </xf>
    <xf numFmtId="178" fontId="15" fillId="0" borderId="0" xfId="0" applyNumberFormat="1" applyFont="1" applyFill="1" applyBorder="1" applyAlignment="1">
      <alignment horizontal="right" vertical="top" wrapText="1"/>
    </xf>
    <xf numFmtId="178" fontId="15" fillId="0" borderId="21" xfId="0" applyNumberFormat="1" applyFont="1" applyFill="1" applyBorder="1" applyAlignment="1">
      <alignment horizontal="right" vertical="top" wrapText="1"/>
    </xf>
    <xf numFmtId="178" fontId="15" fillId="0" borderId="18" xfId="0" applyNumberFormat="1" applyFont="1" applyFill="1" applyBorder="1" applyAlignment="1">
      <alignment horizontal="right" vertical="top" wrapText="1"/>
    </xf>
    <xf numFmtId="178" fontId="15" fillId="0" borderId="8" xfId="0" applyNumberFormat="1" applyFont="1" applyFill="1" applyBorder="1" applyAlignment="1">
      <alignment horizontal="right" vertical="top" wrapText="1"/>
    </xf>
    <xf numFmtId="178" fontId="15" fillId="0" borderId="23" xfId="0" applyNumberFormat="1" applyFont="1" applyFill="1" applyBorder="1" applyAlignment="1">
      <alignment horizontal="right" vertical="top" wrapText="1"/>
    </xf>
    <xf numFmtId="178" fontId="15" fillId="0" borderId="24" xfId="0" applyNumberFormat="1" applyFont="1" applyFill="1" applyBorder="1" applyAlignment="1">
      <alignment horizontal="right" vertical="top" wrapText="1"/>
    </xf>
    <xf numFmtId="0" fontId="61" fillId="0" borderId="0" xfId="0" applyFont="1" applyFill="1"/>
    <xf numFmtId="0" fontId="61" fillId="0" borderId="0" xfId="0" applyFont="1" applyFill="1" applyBorder="1"/>
    <xf numFmtId="0" fontId="61" fillId="0" borderId="0" xfId="0" applyFont="1" applyFill="1" applyAlignment="1">
      <alignment horizontal="right"/>
    </xf>
    <xf numFmtId="168" fontId="61" fillId="0" borderId="0" xfId="0" applyNumberFormat="1" applyFont="1" applyFill="1"/>
    <xf numFmtId="0" fontId="61" fillId="0" borderId="8" xfId="0" applyFont="1" applyFill="1" applyBorder="1"/>
    <xf numFmtId="0" fontId="61" fillId="0" borderId="8" xfId="0" applyFont="1" applyFill="1" applyBorder="1" applyAlignment="1">
      <alignment horizontal="right"/>
    </xf>
    <xf numFmtId="168" fontId="61" fillId="0" borderId="8" xfId="0" applyNumberFormat="1" applyFont="1" applyFill="1" applyBorder="1"/>
  </cellXfs>
  <cellStyles count="10">
    <cellStyle name="Comma" xfId="1" builtinId="3"/>
    <cellStyle name="Currency" xfId="7" builtinId="4"/>
    <cellStyle name="Normal" xfId="0" builtinId="0"/>
    <cellStyle name="Normal 2" xfId="3" xr:uid="{00000000-0005-0000-0000-000003000000}"/>
    <cellStyle name="Normal 3" xfId="6" xr:uid="{00000000-0005-0000-0000-000004000000}"/>
    <cellStyle name="Normal 4" xfId="8" xr:uid="{00000000-0005-0000-0000-000005000000}"/>
    <cellStyle name="Normal 5" xfId="9" xr:uid="{6A8F2CAC-54D1-413C-A289-80E4995D1D67}"/>
    <cellStyle name="Normal_Citywide" xfId="5" xr:uid="{00000000-0005-0000-0000-000006000000}"/>
    <cellStyle name="Normal_output" xfId="4" xr:uid="{00000000-0005-0000-0000-000007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2.xml"/><Relationship Id="rId47" Type="http://schemas.openxmlformats.org/officeDocument/2006/relationships/externalLink" Target="externalLinks/externalLink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5.xml"/><Relationship Id="rId53"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4.xml"/><Relationship Id="rId52"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6.xml"/><Relationship Id="rId20" Type="http://schemas.openxmlformats.org/officeDocument/2006/relationships/worksheet" Target="worksheets/sheet20.xml"/><Relationship Id="rId41" Type="http://schemas.openxmlformats.org/officeDocument/2006/relationships/externalLink" Target="externalLinks/externalLink1.xml"/><Relationship Id="rId54"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n-US" sz="1100"/>
              <a:t>Citywide Tax Dollar Value of Exemptions
</a:t>
            </a:r>
          </a:p>
        </c:rich>
      </c:tx>
      <c:layout>
        <c:manualLayout>
          <c:xMode val="edge"/>
          <c:yMode val="edge"/>
          <c:x val="0.2909608968370479"/>
          <c:y val="3.3240951264070714E-2"/>
        </c:manualLayout>
      </c:layout>
      <c:overlay val="0"/>
      <c:spPr>
        <a:noFill/>
        <a:ln w="25400">
          <a:noFill/>
        </a:ln>
      </c:spPr>
    </c:title>
    <c:autoTitleDeleted val="0"/>
    <c:plotArea>
      <c:layout>
        <c:manualLayout>
          <c:layoutTarget val="inner"/>
          <c:xMode val="edge"/>
          <c:yMode val="edge"/>
          <c:x val="0.40072557926027935"/>
          <c:y val="0.30415326491649092"/>
          <c:w val="0.19977243192500813"/>
          <c:h val="0.48254111708059455"/>
        </c:manualLayout>
      </c:layout>
      <c:pieChart>
        <c:varyColors val="1"/>
        <c:ser>
          <c:idx val="0"/>
          <c:order val="0"/>
          <c:spPr>
            <a:solidFill>
              <a:srgbClr val="9999FF"/>
            </a:solidFill>
            <a:ln w="12700">
              <a:solidFill>
                <a:srgbClr val="000000"/>
              </a:solidFill>
              <a:prstDash val="solid"/>
            </a:ln>
          </c:spPr>
          <c:dPt>
            <c:idx val="0"/>
            <c:bubble3D val="0"/>
            <c:spPr>
              <a:solidFill>
                <a:srgbClr val="000000"/>
              </a:solidFill>
              <a:ln w="12700">
                <a:solidFill>
                  <a:srgbClr val="000000"/>
                </a:solidFill>
                <a:prstDash val="solid"/>
              </a:ln>
            </c:spPr>
            <c:extLst>
              <c:ext xmlns:c16="http://schemas.microsoft.com/office/drawing/2014/chart" uri="{C3380CC4-5D6E-409C-BE32-E72D297353CC}">
                <c16:uniqueId val="{00000001-CA06-4909-80CF-B51F9F5B534D}"/>
              </c:ext>
            </c:extLst>
          </c:dPt>
          <c:dPt>
            <c:idx val="1"/>
            <c:bubble3D val="0"/>
            <c:spPr>
              <a:solidFill>
                <a:srgbClr val="FFFFFF"/>
              </a:solidFill>
              <a:ln w="12700">
                <a:solidFill>
                  <a:srgbClr val="000000"/>
                </a:solidFill>
                <a:prstDash val="solid"/>
              </a:ln>
            </c:spPr>
            <c:extLst>
              <c:ext xmlns:c16="http://schemas.microsoft.com/office/drawing/2014/chart" uri="{C3380CC4-5D6E-409C-BE32-E72D297353CC}">
                <c16:uniqueId val="{00000003-CA06-4909-80CF-B51F9F5B534D}"/>
              </c:ext>
            </c:extLst>
          </c:dPt>
          <c:dPt>
            <c:idx val="2"/>
            <c:bubble3D val="0"/>
            <c:spPr>
              <a:solidFill>
                <a:srgbClr val="333333"/>
              </a:solidFill>
              <a:ln w="12700">
                <a:solidFill>
                  <a:srgbClr val="000000"/>
                </a:solidFill>
                <a:prstDash val="solid"/>
              </a:ln>
            </c:spPr>
            <c:extLst>
              <c:ext xmlns:c16="http://schemas.microsoft.com/office/drawing/2014/chart" uri="{C3380CC4-5D6E-409C-BE32-E72D297353CC}">
                <c16:uniqueId val="{00000005-CA06-4909-80CF-B51F9F5B534D}"/>
              </c:ext>
            </c:extLst>
          </c:dPt>
          <c:dPt>
            <c:idx val="3"/>
            <c:bubble3D val="0"/>
            <c:spPr>
              <a:solidFill>
                <a:srgbClr val="C0C0C0"/>
              </a:solidFill>
              <a:ln w="12700">
                <a:solidFill>
                  <a:srgbClr val="000000"/>
                </a:solidFill>
                <a:prstDash val="solid"/>
              </a:ln>
            </c:spPr>
            <c:extLst>
              <c:ext xmlns:c16="http://schemas.microsoft.com/office/drawing/2014/chart" uri="{C3380CC4-5D6E-409C-BE32-E72D297353CC}">
                <c16:uniqueId val="{00000007-CA06-4909-80CF-B51F9F5B534D}"/>
              </c:ext>
            </c:extLst>
          </c:dPt>
          <c:dPt>
            <c:idx val="4"/>
            <c:bubble3D val="0"/>
            <c:spPr>
              <a:pattFill prst="pct60">
                <a:fgClr>
                  <a:srgbClr xmlns:mc="http://schemas.openxmlformats.org/markup-compatibility/2006" xmlns:a14="http://schemas.microsoft.com/office/drawing/2010/main" val="C0C0C0" mc:Ignorable="a14" a14:legacySpreadsheetColorIndex="22"/>
                </a:fgClr>
                <a:bgClr>
                  <a:srgbClr xmlns:mc="http://schemas.openxmlformats.org/markup-compatibility/2006" xmlns:a14="http://schemas.microsoft.com/office/drawing/2010/main" val="000000" mc:Ignorable="a14" a14:legacySpreadsheetColorIndex="8"/>
                </a:bgClr>
              </a:pattFill>
              <a:ln w="12700">
                <a:solidFill>
                  <a:srgbClr val="000000"/>
                </a:solidFill>
                <a:prstDash val="solid"/>
              </a:ln>
            </c:spPr>
            <c:extLst>
              <c:ext xmlns:c16="http://schemas.microsoft.com/office/drawing/2014/chart" uri="{C3380CC4-5D6E-409C-BE32-E72D297353CC}">
                <c16:uniqueId val="{00000009-CA06-4909-80CF-B51F9F5B534D}"/>
              </c:ext>
            </c:extLst>
          </c:dPt>
          <c:dPt>
            <c:idx val="5"/>
            <c:bubble3D val="0"/>
            <c:spPr>
              <a:solidFill>
                <a:srgbClr val="C0C0C0"/>
              </a:solidFill>
              <a:ln w="12700">
                <a:solidFill>
                  <a:srgbClr val="000000"/>
                </a:solidFill>
                <a:prstDash val="solid"/>
              </a:ln>
            </c:spPr>
            <c:extLst>
              <c:ext xmlns:c16="http://schemas.microsoft.com/office/drawing/2014/chart" uri="{C3380CC4-5D6E-409C-BE32-E72D297353CC}">
                <c16:uniqueId val="{0000000B-CA06-4909-80CF-B51F9F5B534D}"/>
              </c:ext>
            </c:extLst>
          </c:dPt>
          <c:dLbls>
            <c:numFmt formatCode="0.0%" sourceLinked="0"/>
            <c:spPr>
              <a:noFill/>
              <a:ln>
                <a:noFill/>
              </a:ln>
              <a:effectLst/>
            </c:spPr>
            <c:txPr>
              <a:bodyPr/>
              <a:lstStyle/>
              <a:p>
                <a:pPr>
                  <a:defRPr sz="1000" baseline="0">
                    <a:latin typeface="Arial" pitchFamily="34" charset="0"/>
                  </a:defRPr>
                </a:pPr>
                <a:endParaRPr lang="en-US"/>
              </a:p>
            </c:txPr>
            <c:dLblPos val="outEnd"/>
            <c:showLegendKey val="0"/>
            <c:showVal val="0"/>
            <c:showCatName val="1"/>
            <c:showSerName val="0"/>
            <c:showPercent val="1"/>
            <c:showBubbleSize val="0"/>
            <c:showLeaderLines val="0"/>
            <c:extLst>
              <c:ext xmlns:c15="http://schemas.microsoft.com/office/drawing/2012/chart" uri="{CE6537A1-D6FC-4f65-9D91-7224C49458BB}"/>
            </c:extLst>
          </c:dLbls>
          <c:cat>
            <c:strRef>
              <c:f>[1]Bronx!$H$57:$H$62</c:f>
              <c:strCache>
                <c:ptCount val="6"/>
                <c:pt idx="0">
                  <c:v>Government</c:v>
                </c:pt>
                <c:pt idx="1">
                  <c:v>Public Authorities</c:v>
                </c:pt>
                <c:pt idx="2">
                  <c:v>Individual Assistance</c:v>
                </c:pt>
                <c:pt idx="3">
                  <c:v>Institutional</c:v>
                </c:pt>
                <c:pt idx="4">
                  <c:v>Residential</c:v>
                </c:pt>
                <c:pt idx="5">
                  <c:v>Commercial/Industrial</c:v>
                </c:pt>
              </c:strCache>
            </c:strRef>
          </c:cat>
          <c:val>
            <c:numRef>
              <c:f>[1]Citywide!$G$58:$G$63</c:f>
              <c:numCache>
                <c:formatCode>General</c:formatCode>
                <c:ptCount val="6"/>
                <c:pt idx="0">
                  <c:v>5999924563</c:v>
                </c:pt>
                <c:pt idx="1">
                  <c:v>4713091925</c:v>
                </c:pt>
                <c:pt idx="2">
                  <c:v>370999714</c:v>
                </c:pt>
                <c:pt idx="3">
                  <c:v>2555277426</c:v>
                </c:pt>
                <c:pt idx="4">
                  <c:v>2547573964</c:v>
                </c:pt>
                <c:pt idx="5">
                  <c:v>705525616</c:v>
                </c:pt>
              </c:numCache>
            </c:numRef>
          </c:val>
          <c:extLst>
            <c:ext xmlns:c16="http://schemas.microsoft.com/office/drawing/2014/chart" uri="{C3380CC4-5D6E-409C-BE32-E72D297353CC}">
              <c16:uniqueId val="{0000000C-CA06-4909-80CF-B51F9F5B534D}"/>
            </c:ext>
          </c:extLst>
        </c:ser>
        <c:dLbls>
          <c:dLblPos val="outEnd"/>
          <c:showLegendKey val="0"/>
          <c:showVal val="1"/>
          <c:showCatName val="0"/>
          <c:showSerName val="0"/>
          <c:showPercent val="0"/>
          <c:showBubbleSize val="0"/>
          <c:showLeaderLines val="0"/>
        </c:dLbls>
        <c:firstSliceAng val="10"/>
      </c:pieChart>
      <c:spPr>
        <a:noFill/>
        <a:ln w="25400">
          <a:noFill/>
        </a:ln>
      </c:spPr>
    </c:plotArea>
    <c:plotVisOnly val="1"/>
    <c:dispBlanksAs val="zero"/>
    <c:showDLblsOverMax val="0"/>
  </c:chart>
  <c:spPr>
    <a:noFill/>
    <a:ln w="9525">
      <a:noFill/>
    </a:ln>
  </c:spPr>
  <c:txPr>
    <a:bodyPr/>
    <a:lstStyle/>
    <a:p>
      <a:pPr>
        <a:defRPr sz="2200" b="0" i="0" u="none" strike="noStrike" baseline="0">
          <a:solidFill>
            <a:srgbClr val="000000"/>
          </a:solidFill>
          <a:latin typeface="Times New Roman"/>
          <a:ea typeface="Times New Roman"/>
          <a:cs typeface="Times New Roman"/>
        </a:defRPr>
      </a:pPr>
      <a:endParaRPr lang="en-US"/>
    </a:p>
  </c:txPr>
  <c:printSettings>
    <c:headerFooter alignWithMargins="0"/>
    <c:pageMargins b="1" l="0.75" r="0.75"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75" b="1" i="0" u="none" strike="noStrike" baseline="0">
                <a:solidFill>
                  <a:srgbClr val="000000"/>
                </a:solidFill>
                <a:latin typeface="Arial"/>
                <a:ea typeface="Arial"/>
                <a:cs typeface="Arial"/>
              </a:defRPr>
            </a:pPr>
            <a:r>
              <a:rPr lang="en-US"/>
              <a:t>Manhattan Tax Dollar</a:t>
            </a:r>
            <a:r>
              <a:rPr lang="en-US" baseline="0"/>
              <a:t> </a:t>
            </a:r>
            <a:r>
              <a:rPr lang="en-US"/>
              <a:t>Value of Exemptions</a:t>
            </a:r>
          </a:p>
        </c:rich>
      </c:tx>
      <c:layout>
        <c:manualLayout>
          <c:xMode val="edge"/>
          <c:yMode val="edge"/>
          <c:x val="0.31216216216216214"/>
          <c:y val="3.2994923857868022E-2"/>
        </c:manualLayout>
      </c:layout>
      <c:overlay val="0"/>
      <c:spPr>
        <a:noFill/>
        <a:ln w="25400">
          <a:noFill/>
        </a:ln>
      </c:spPr>
    </c:title>
    <c:autoTitleDeleted val="0"/>
    <c:plotArea>
      <c:layout>
        <c:manualLayout>
          <c:layoutTarget val="inner"/>
          <c:xMode val="edge"/>
          <c:yMode val="edge"/>
          <c:x val="0.37567567567567567"/>
          <c:y val="0.32233542484858924"/>
          <c:w val="0.25"/>
          <c:h val="0.46954372911014969"/>
        </c:manualLayout>
      </c:layout>
      <c:pieChart>
        <c:varyColors val="1"/>
        <c:ser>
          <c:idx val="0"/>
          <c:order val="0"/>
          <c:spPr>
            <a:solidFill>
              <a:srgbClr val="9999FF"/>
            </a:solidFill>
            <a:ln w="12700">
              <a:solidFill>
                <a:srgbClr val="000000"/>
              </a:solidFill>
              <a:prstDash val="solid"/>
            </a:ln>
          </c:spPr>
          <c:dPt>
            <c:idx val="0"/>
            <c:bubble3D val="0"/>
            <c:spPr>
              <a:solidFill>
                <a:srgbClr val="000000"/>
              </a:solidFill>
              <a:ln w="12700">
                <a:solidFill>
                  <a:srgbClr val="000000"/>
                </a:solidFill>
                <a:prstDash val="solid"/>
              </a:ln>
            </c:spPr>
            <c:extLst>
              <c:ext xmlns:c16="http://schemas.microsoft.com/office/drawing/2014/chart" uri="{C3380CC4-5D6E-409C-BE32-E72D297353CC}">
                <c16:uniqueId val="{00000001-C454-485E-BAC0-EE23EF217075}"/>
              </c:ext>
            </c:extLst>
          </c:dPt>
          <c:dPt>
            <c:idx val="1"/>
            <c:bubble3D val="0"/>
            <c:spPr>
              <a:solidFill>
                <a:srgbClr val="FFFFFF"/>
              </a:solidFill>
              <a:ln w="12700">
                <a:solidFill>
                  <a:srgbClr val="000000"/>
                </a:solidFill>
                <a:prstDash val="solid"/>
              </a:ln>
            </c:spPr>
            <c:extLst>
              <c:ext xmlns:c16="http://schemas.microsoft.com/office/drawing/2014/chart" uri="{C3380CC4-5D6E-409C-BE32-E72D297353CC}">
                <c16:uniqueId val="{00000003-C454-485E-BAC0-EE23EF217075}"/>
              </c:ext>
            </c:extLst>
          </c:dPt>
          <c:dPt>
            <c:idx val="2"/>
            <c:bubble3D val="0"/>
            <c:spPr>
              <a:solidFill>
                <a:srgbClr val="333333"/>
              </a:solidFill>
              <a:ln w="12700">
                <a:solidFill>
                  <a:srgbClr val="000000"/>
                </a:solidFill>
                <a:prstDash val="solid"/>
              </a:ln>
            </c:spPr>
            <c:extLst>
              <c:ext xmlns:c16="http://schemas.microsoft.com/office/drawing/2014/chart" uri="{C3380CC4-5D6E-409C-BE32-E72D297353CC}">
                <c16:uniqueId val="{00000005-C454-485E-BAC0-EE23EF217075}"/>
              </c:ext>
            </c:extLst>
          </c:dPt>
          <c:dPt>
            <c:idx val="3"/>
            <c:bubble3D val="0"/>
            <c:spPr>
              <a:solidFill>
                <a:srgbClr val="C0C0C0"/>
              </a:solidFill>
              <a:ln w="12700">
                <a:solidFill>
                  <a:srgbClr val="000000"/>
                </a:solidFill>
                <a:prstDash val="solid"/>
              </a:ln>
            </c:spPr>
            <c:extLst>
              <c:ext xmlns:c16="http://schemas.microsoft.com/office/drawing/2014/chart" uri="{C3380CC4-5D6E-409C-BE32-E72D297353CC}">
                <c16:uniqueId val="{00000007-C454-485E-BAC0-EE23EF217075}"/>
              </c:ext>
            </c:extLst>
          </c:dPt>
          <c:dPt>
            <c:idx val="4"/>
            <c:bubble3D val="0"/>
            <c:spPr>
              <a:pattFill prst="pct60">
                <a:fgClr>
                  <a:srgbClr xmlns:mc="http://schemas.openxmlformats.org/markup-compatibility/2006" xmlns:a14="http://schemas.microsoft.com/office/drawing/2010/main" val="C0C0C0" mc:Ignorable="a14" a14:legacySpreadsheetColorIndex="22"/>
                </a:fgClr>
                <a:bgClr>
                  <a:srgbClr xmlns:mc="http://schemas.openxmlformats.org/markup-compatibility/2006" xmlns:a14="http://schemas.microsoft.com/office/drawing/2010/main" val="000000" mc:Ignorable="a14" a14:legacySpreadsheetColorIndex="8"/>
                </a:bgClr>
              </a:pattFill>
              <a:ln w="12700">
                <a:solidFill>
                  <a:srgbClr val="000000"/>
                </a:solidFill>
                <a:prstDash val="solid"/>
              </a:ln>
            </c:spPr>
            <c:extLst>
              <c:ext xmlns:c16="http://schemas.microsoft.com/office/drawing/2014/chart" uri="{C3380CC4-5D6E-409C-BE32-E72D297353CC}">
                <c16:uniqueId val="{00000009-C454-485E-BAC0-EE23EF217075}"/>
              </c:ext>
            </c:extLst>
          </c:dPt>
          <c:dPt>
            <c:idx val="5"/>
            <c:bubble3D val="0"/>
            <c:spPr>
              <a:solidFill>
                <a:srgbClr val="C0C0C0"/>
              </a:solidFill>
              <a:ln w="12700">
                <a:solidFill>
                  <a:srgbClr val="000000"/>
                </a:solidFill>
                <a:prstDash val="solid"/>
              </a:ln>
            </c:spPr>
            <c:extLst>
              <c:ext xmlns:c16="http://schemas.microsoft.com/office/drawing/2014/chart" uri="{C3380CC4-5D6E-409C-BE32-E72D297353CC}">
                <c16:uniqueId val="{0000000B-C454-485E-BAC0-EE23EF217075}"/>
              </c:ext>
            </c:extLst>
          </c:dPt>
          <c:dLbls>
            <c:numFmt formatCode="0.0%" sourceLinked="0"/>
            <c:spPr>
              <a:noFill/>
              <a:ln>
                <a:noFill/>
              </a:ln>
              <a:effectLst/>
            </c:spPr>
            <c:txPr>
              <a:bodyPr/>
              <a:lstStyle/>
              <a:p>
                <a:pPr>
                  <a:defRPr sz="1000" baseline="0">
                    <a:latin typeface="Arial" pitchFamily="34" charset="0"/>
                    <a:cs typeface="Arial" pitchFamily="34" charset="0"/>
                  </a:defRPr>
                </a:pPr>
                <a:endParaRPr lang="en-US"/>
              </a:p>
            </c:txPr>
            <c:dLblPos val="outEnd"/>
            <c:showLegendKey val="0"/>
            <c:showVal val="0"/>
            <c:showCatName val="1"/>
            <c:showSerName val="0"/>
            <c:showPercent val="1"/>
            <c:showBubbleSize val="0"/>
            <c:showLeaderLines val="0"/>
            <c:extLst>
              <c:ext xmlns:c15="http://schemas.microsoft.com/office/drawing/2012/chart" uri="{CE6537A1-D6FC-4f65-9D91-7224C49458BB}"/>
            </c:extLst>
          </c:dLbls>
          <c:cat>
            <c:strRef>
              <c:f>[1]Manhattan!$H$57:$H$62</c:f>
              <c:strCache>
                <c:ptCount val="6"/>
                <c:pt idx="0">
                  <c:v>Government</c:v>
                </c:pt>
                <c:pt idx="1">
                  <c:v>Public Authorities</c:v>
                </c:pt>
                <c:pt idx="2">
                  <c:v>Individual Assistance</c:v>
                </c:pt>
                <c:pt idx="3">
                  <c:v>Institutional</c:v>
                </c:pt>
                <c:pt idx="4">
                  <c:v>Residential</c:v>
                </c:pt>
                <c:pt idx="5">
                  <c:v>Commercial/Industrial</c:v>
                </c:pt>
              </c:strCache>
            </c:strRef>
          </c:cat>
          <c:val>
            <c:numRef>
              <c:f>[1]Manhattan!$G$57:$G$62</c:f>
              <c:numCache>
                <c:formatCode>General</c:formatCode>
                <c:ptCount val="6"/>
                <c:pt idx="0">
                  <c:v>2196139215</c:v>
                </c:pt>
                <c:pt idx="1">
                  <c:v>2009976894</c:v>
                </c:pt>
                <c:pt idx="2">
                  <c:v>39877553</c:v>
                </c:pt>
                <c:pt idx="3">
                  <c:v>1417696479</c:v>
                </c:pt>
                <c:pt idx="4">
                  <c:v>1231476902</c:v>
                </c:pt>
                <c:pt idx="5">
                  <c:v>202285583</c:v>
                </c:pt>
              </c:numCache>
            </c:numRef>
          </c:val>
          <c:extLst>
            <c:ext xmlns:c16="http://schemas.microsoft.com/office/drawing/2014/chart" uri="{C3380CC4-5D6E-409C-BE32-E72D297353CC}">
              <c16:uniqueId val="{0000000C-C454-485E-BAC0-EE23EF217075}"/>
            </c:ext>
          </c:extLst>
        </c:ser>
        <c:dLbls>
          <c:dLblPos val="bestFit"/>
          <c:showLegendKey val="0"/>
          <c:showVal val="1"/>
          <c:showCatName val="0"/>
          <c:showSerName val="0"/>
          <c:showPercent val="0"/>
          <c:showBubbleSize val="0"/>
          <c:showLeaderLines val="0"/>
        </c:dLbls>
        <c:firstSliceAng val="10"/>
      </c:pieChart>
      <c:spPr>
        <a:noFill/>
        <a:ln w="25400">
          <a:noFill/>
        </a:ln>
      </c:spPr>
    </c:plotArea>
    <c:plotVisOnly val="1"/>
    <c:dispBlanksAs val="zero"/>
    <c:showDLblsOverMax val="0"/>
  </c:chart>
  <c:spPr>
    <a:noFill/>
    <a:ln w="9525">
      <a:noFill/>
    </a:ln>
  </c:spPr>
  <c:txPr>
    <a:bodyPr/>
    <a:lstStyle/>
    <a:p>
      <a:pPr>
        <a:defRPr sz="2375" b="0" i="0" u="none" strike="noStrike" baseline="0">
          <a:solidFill>
            <a:srgbClr val="000000"/>
          </a:solidFill>
          <a:latin typeface="Times New Roman"/>
          <a:ea typeface="Times New Roman"/>
          <a:cs typeface="Times New Roman"/>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Bronx Tax Dollar Value of Exemptions</a:t>
            </a:r>
          </a:p>
        </c:rich>
      </c:tx>
      <c:layout>
        <c:manualLayout>
          <c:xMode val="edge"/>
          <c:yMode val="edge"/>
          <c:x val="0.33512786002691791"/>
          <c:y val="3.2911392405063293E-2"/>
        </c:manualLayout>
      </c:layout>
      <c:overlay val="0"/>
      <c:spPr>
        <a:noFill/>
        <a:ln w="25400">
          <a:noFill/>
        </a:ln>
      </c:spPr>
    </c:title>
    <c:autoTitleDeleted val="0"/>
    <c:plotArea>
      <c:layout>
        <c:manualLayout>
          <c:layoutTarget val="inner"/>
          <c:xMode val="edge"/>
          <c:yMode val="edge"/>
          <c:x val="0.37550471063257068"/>
          <c:y val="0.32151898734177214"/>
          <c:w val="0.25033647375504708"/>
          <c:h val="0.4708860759493671"/>
        </c:manualLayout>
      </c:layout>
      <c:pieChart>
        <c:varyColors val="1"/>
        <c:ser>
          <c:idx val="0"/>
          <c:order val="0"/>
          <c:spPr>
            <a:solidFill>
              <a:srgbClr val="9999FF"/>
            </a:solidFill>
            <a:ln w="12700">
              <a:solidFill>
                <a:srgbClr val="000000"/>
              </a:solidFill>
              <a:prstDash val="solid"/>
            </a:ln>
          </c:spPr>
          <c:dPt>
            <c:idx val="0"/>
            <c:bubble3D val="0"/>
            <c:spPr>
              <a:solidFill>
                <a:srgbClr val="000000"/>
              </a:solidFill>
              <a:ln w="12700">
                <a:solidFill>
                  <a:srgbClr val="000000"/>
                </a:solidFill>
                <a:prstDash val="solid"/>
              </a:ln>
            </c:spPr>
            <c:extLst>
              <c:ext xmlns:c16="http://schemas.microsoft.com/office/drawing/2014/chart" uri="{C3380CC4-5D6E-409C-BE32-E72D297353CC}">
                <c16:uniqueId val="{00000001-36BC-47C6-9173-4EA03C18BF85}"/>
              </c:ext>
            </c:extLst>
          </c:dPt>
          <c:dPt>
            <c:idx val="1"/>
            <c:bubble3D val="0"/>
            <c:spPr>
              <a:solidFill>
                <a:srgbClr val="FFFFFF"/>
              </a:solidFill>
              <a:ln w="12700">
                <a:solidFill>
                  <a:srgbClr val="000000"/>
                </a:solidFill>
                <a:prstDash val="solid"/>
              </a:ln>
            </c:spPr>
            <c:extLst>
              <c:ext xmlns:c16="http://schemas.microsoft.com/office/drawing/2014/chart" uri="{C3380CC4-5D6E-409C-BE32-E72D297353CC}">
                <c16:uniqueId val="{00000003-36BC-47C6-9173-4EA03C18BF85}"/>
              </c:ext>
            </c:extLst>
          </c:dPt>
          <c:dPt>
            <c:idx val="2"/>
            <c:bubble3D val="0"/>
            <c:spPr>
              <a:solidFill>
                <a:srgbClr val="333333"/>
              </a:solidFill>
              <a:ln w="12700">
                <a:solidFill>
                  <a:srgbClr val="000000"/>
                </a:solidFill>
                <a:prstDash val="solid"/>
              </a:ln>
            </c:spPr>
            <c:extLst>
              <c:ext xmlns:c16="http://schemas.microsoft.com/office/drawing/2014/chart" uri="{C3380CC4-5D6E-409C-BE32-E72D297353CC}">
                <c16:uniqueId val="{00000005-36BC-47C6-9173-4EA03C18BF85}"/>
              </c:ext>
            </c:extLst>
          </c:dPt>
          <c:dPt>
            <c:idx val="3"/>
            <c:bubble3D val="0"/>
            <c:spPr>
              <a:solidFill>
                <a:srgbClr val="C0C0C0"/>
              </a:solidFill>
              <a:ln w="12700">
                <a:solidFill>
                  <a:srgbClr val="000000"/>
                </a:solidFill>
                <a:prstDash val="solid"/>
              </a:ln>
            </c:spPr>
            <c:extLst>
              <c:ext xmlns:c16="http://schemas.microsoft.com/office/drawing/2014/chart" uri="{C3380CC4-5D6E-409C-BE32-E72D297353CC}">
                <c16:uniqueId val="{00000007-36BC-47C6-9173-4EA03C18BF85}"/>
              </c:ext>
            </c:extLst>
          </c:dPt>
          <c:dPt>
            <c:idx val="4"/>
            <c:bubble3D val="0"/>
            <c:spPr>
              <a:pattFill prst="pct60">
                <a:fgClr>
                  <a:srgbClr xmlns:mc="http://schemas.openxmlformats.org/markup-compatibility/2006" xmlns:a14="http://schemas.microsoft.com/office/drawing/2010/main" val="C0C0C0" mc:Ignorable="a14" a14:legacySpreadsheetColorIndex="22"/>
                </a:fgClr>
                <a:bgClr>
                  <a:srgbClr xmlns:mc="http://schemas.openxmlformats.org/markup-compatibility/2006" xmlns:a14="http://schemas.microsoft.com/office/drawing/2010/main" val="000000" mc:Ignorable="a14" a14:legacySpreadsheetColorIndex="8"/>
                </a:bgClr>
              </a:pattFill>
              <a:ln w="12700">
                <a:solidFill>
                  <a:srgbClr val="000000"/>
                </a:solidFill>
                <a:prstDash val="solid"/>
              </a:ln>
            </c:spPr>
            <c:extLst>
              <c:ext xmlns:c16="http://schemas.microsoft.com/office/drawing/2014/chart" uri="{C3380CC4-5D6E-409C-BE32-E72D297353CC}">
                <c16:uniqueId val="{00000009-36BC-47C6-9173-4EA03C18BF85}"/>
              </c:ext>
            </c:extLst>
          </c:dPt>
          <c:dPt>
            <c:idx val="5"/>
            <c:bubble3D val="0"/>
            <c:spPr>
              <a:solidFill>
                <a:srgbClr val="C0C0C0"/>
              </a:solidFill>
              <a:ln w="12700">
                <a:solidFill>
                  <a:srgbClr val="000000"/>
                </a:solidFill>
                <a:prstDash val="solid"/>
              </a:ln>
            </c:spPr>
            <c:extLst>
              <c:ext xmlns:c16="http://schemas.microsoft.com/office/drawing/2014/chart" uri="{C3380CC4-5D6E-409C-BE32-E72D297353CC}">
                <c16:uniqueId val="{0000000B-36BC-47C6-9173-4EA03C18BF85}"/>
              </c:ext>
            </c:extLst>
          </c:dPt>
          <c:dLbls>
            <c:numFmt formatCode="0.0%" sourceLinked="0"/>
            <c:spPr>
              <a:noFill/>
              <a:ln>
                <a:noFill/>
              </a:ln>
              <a:effectLst/>
            </c:spPr>
            <c:txPr>
              <a:bodyPr/>
              <a:lstStyle/>
              <a:p>
                <a:pPr>
                  <a:defRPr sz="1000">
                    <a:latin typeface="Arial" pitchFamily="34" charset="0"/>
                    <a:cs typeface="Arial" pitchFamily="34" charset="0"/>
                  </a:defRPr>
                </a:pPr>
                <a:endParaRPr lang="en-US"/>
              </a:p>
            </c:txPr>
            <c:dLblPos val="outEnd"/>
            <c:showLegendKey val="0"/>
            <c:showVal val="0"/>
            <c:showCatName val="1"/>
            <c:showSerName val="0"/>
            <c:showPercent val="1"/>
            <c:showBubbleSize val="0"/>
            <c:showLeaderLines val="0"/>
            <c:extLst>
              <c:ext xmlns:c15="http://schemas.microsoft.com/office/drawing/2012/chart" uri="{CE6537A1-D6FC-4f65-9D91-7224C49458BB}"/>
            </c:extLst>
          </c:dLbls>
          <c:cat>
            <c:strRef>
              <c:f>[1]Bronx!$H$57:$H$62</c:f>
              <c:strCache>
                <c:ptCount val="6"/>
                <c:pt idx="0">
                  <c:v>Government</c:v>
                </c:pt>
                <c:pt idx="1">
                  <c:v>Public Authorities</c:v>
                </c:pt>
                <c:pt idx="2">
                  <c:v>Individual Assistance</c:v>
                </c:pt>
                <c:pt idx="3">
                  <c:v>Institutional</c:v>
                </c:pt>
                <c:pt idx="4">
                  <c:v>Residential</c:v>
                </c:pt>
                <c:pt idx="5">
                  <c:v>Commercial/Industrial</c:v>
                </c:pt>
              </c:strCache>
            </c:strRef>
          </c:cat>
          <c:val>
            <c:numRef>
              <c:f>[1]Bronx!$G$57:$G$62</c:f>
              <c:numCache>
                <c:formatCode>General</c:formatCode>
                <c:ptCount val="6"/>
                <c:pt idx="0">
                  <c:v>736032618</c:v>
                </c:pt>
                <c:pt idx="1">
                  <c:v>354030959</c:v>
                </c:pt>
                <c:pt idx="2">
                  <c:v>28702542</c:v>
                </c:pt>
                <c:pt idx="3">
                  <c:v>246990401</c:v>
                </c:pt>
                <c:pt idx="4">
                  <c:v>349232325</c:v>
                </c:pt>
                <c:pt idx="5">
                  <c:v>78426196</c:v>
                </c:pt>
              </c:numCache>
            </c:numRef>
          </c:val>
          <c:extLst>
            <c:ext xmlns:c16="http://schemas.microsoft.com/office/drawing/2014/chart" uri="{C3380CC4-5D6E-409C-BE32-E72D297353CC}">
              <c16:uniqueId val="{0000000C-36BC-47C6-9173-4EA03C18BF85}"/>
            </c:ext>
          </c:extLst>
        </c:ser>
        <c:dLbls>
          <c:dLblPos val="outEnd"/>
          <c:showLegendKey val="0"/>
          <c:showVal val="1"/>
          <c:showCatName val="0"/>
          <c:showSerName val="0"/>
          <c:showPercent val="0"/>
          <c:showBubbleSize val="0"/>
          <c:showLeaderLines val="0"/>
        </c:dLbls>
        <c:firstSliceAng val="10"/>
      </c:pieChart>
      <c:spPr>
        <a:noFill/>
        <a:ln w="25400">
          <a:noFill/>
        </a:ln>
      </c:spPr>
    </c:plotArea>
    <c:plotVisOnly val="1"/>
    <c:dispBlanksAs val="zero"/>
    <c:showDLblsOverMax val="0"/>
  </c:chart>
  <c:spPr>
    <a:noFill/>
    <a:ln w="9525">
      <a:noFill/>
    </a:ln>
  </c:spPr>
  <c:txPr>
    <a:bodyPr/>
    <a:lstStyle/>
    <a:p>
      <a:pPr>
        <a:defRPr sz="2375" b="0" i="0" u="none" strike="noStrike" baseline="0">
          <a:solidFill>
            <a:srgbClr val="000000"/>
          </a:solidFill>
          <a:latin typeface="Times New Roman"/>
          <a:ea typeface="Times New Roman"/>
          <a:cs typeface="Times New Roman"/>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Brooklyn Tax Dollar Value of Exemptions</a:t>
            </a:r>
          </a:p>
        </c:rich>
      </c:tx>
      <c:layout>
        <c:manualLayout>
          <c:xMode val="edge"/>
          <c:yMode val="edge"/>
          <c:x val="0.31940714957800087"/>
          <c:y val="3.1100478468899521E-2"/>
        </c:manualLayout>
      </c:layout>
      <c:overlay val="0"/>
      <c:spPr>
        <a:noFill/>
        <a:ln w="25400">
          <a:noFill/>
        </a:ln>
      </c:spPr>
    </c:title>
    <c:autoTitleDeleted val="0"/>
    <c:plotArea>
      <c:layout>
        <c:manualLayout>
          <c:layoutTarget val="inner"/>
          <c:xMode val="edge"/>
          <c:yMode val="edge"/>
          <c:x val="0.36253386883446637"/>
          <c:y val="0.26948902928635898"/>
          <c:w val="0.27493279547780192"/>
          <c:h val="0.48803884760817839"/>
        </c:manualLayout>
      </c:layout>
      <c:pieChart>
        <c:varyColors val="1"/>
        <c:ser>
          <c:idx val="0"/>
          <c:order val="0"/>
          <c:spPr>
            <a:solidFill>
              <a:srgbClr val="9999FF"/>
            </a:solidFill>
            <a:ln w="12700">
              <a:solidFill>
                <a:srgbClr val="000000"/>
              </a:solidFill>
              <a:prstDash val="solid"/>
            </a:ln>
          </c:spPr>
          <c:dPt>
            <c:idx val="0"/>
            <c:bubble3D val="0"/>
            <c:spPr>
              <a:solidFill>
                <a:srgbClr val="000000"/>
              </a:solidFill>
              <a:ln w="12700">
                <a:solidFill>
                  <a:srgbClr val="000000"/>
                </a:solidFill>
                <a:prstDash val="solid"/>
              </a:ln>
            </c:spPr>
            <c:extLst>
              <c:ext xmlns:c16="http://schemas.microsoft.com/office/drawing/2014/chart" uri="{C3380CC4-5D6E-409C-BE32-E72D297353CC}">
                <c16:uniqueId val="{00000001-5F97-489B-AE30-5B9173DBE6AA}"/>
              </c:ext>
            </c:extLst>
          </c:dPt>
          <c:dPt>
            <c:idx val="1"/>
            <c:bubble3D val="0"/>
            <c:spPr>
              <a:solidFill>
                <a:srgbClr val="FFFFFF"/>
              </a:solidFill>
              <a:ln w="12700">
                <a:solidFill>
                  <a:srgbClr val="000000"/>
                </a:solidFill>
                <a:prstDash val="solid"/>
              </a:ln>
            </c:spPr>
            <c:extLst>
              <c:ext xmlns:c16="http://schemas.microsoft.com/office/drawing/2014/chart" uri="{C3380CC4-5D6E-409C-BE32-E72D297353CC}">
                <c16:uniqueId val="{00000003-5F97-489B-AE30-5B9173DBE6AA}"/>
              </c:ext>
            </c:extLst>
          </c:dPt>
          <c:dPt>
            <c:idx val="2"/>
            <c:bubble3D val="0"/>
            <c:spPr>
              <a:solidFill>
                <a:srgbClr val="333333"/>
              </a:solidFill>
              <a:ln w="12700">
                <a:solidFill>
                  <a:srgbClr val="000000"/>
                </a:solidFill>
                <a:prstDash val="solid"/>
              </a:ln>
            </c:spPr>
            <c:extLst>
              <c:ext xmlns:c16="http://schemas.microsoft.com/office/drawing/2014/chart" uri="{C3380CC4-5D6E-409C-BE32-E72D297353CC}">
                <c16:uniqueId val="{00000005-5F97-489B-AE30-5B9173DBE6AA}"/>
              </c:ext>
            </c:extLst>
          </c:dPt>
          <c:dPt>
            <c:idx val="3"/>
            <c:bubble3D val="0"/>
            <c:spPr>
              <a:solidFill>
                <a:srgbClr val="C0C0C0"/>
              </a:solidFill>
              <a:ln w="12700">
                <a:solidFill>
                  <a:srgbClr val="000000"/>
                </a:solidFill>
                <a:prstDash val="solid"/>
              </a:ln>
            </c:spPr>
            <c:extLst>
              <c:ext xmlns:c16="http://schemas.microsoft.com/office/drawing/2014/chart" uri="{C3380CC4-5D6E-409C-BE32-E72D297353CC}">
                <c16:uniqueId val="{00000007-5F97-489B-AE30-5B9173DBE6AA}"/>
              </c:ext>
            </c:extLst>
          </c:dPt>
          <c:dPt>
            <c:idx val="4"/>
            <c:bubble3D val="0"/>
            <c:spPr>
              <a:pattFill prst="pct60">
                <a:fgClr>
                  <a:srgbClr xmlns:mc="http://schemas.openxmlformats.org/markup-compatibility/2006" xmlns:a14="http://schemas.microsoft.com/office/drawing/2010/main" val="C0C0C0" mc:Ignorable="a14" a14:legacySpreadsheetColorIndex="22"/>
                </a:fgClr>
                <a:bgClr>
                  <a:srgbClr xmlns:mc="http://schemas.openxmlformats.org/markup-compatibility/2006" xmlns:a14="http://schemas.microsoft.com/office/drawing/2010/main" val="000000" mc:Ignorable="a14" a14:legacySpreadsheetColorIndex="8"/>
                </a:bgClr>
              </a:pattFill>
              <a:ln w="12700">
                <a:solidFill>
                  <a:srgbClr val="000000"/>
                </a:solidFill>
                <a:prstDash val="solid"/>
              </a:ln>
            </c:spPr>
            <c:extLst>
              <c:ext xmlns:c16="http://schemas.microsoft.com/office/drawing/2014/chart" uri="{C3380CC4-5D6E-409C-BE32-E72D297353CC}">
                <c16:uniqueId val="{00000009-5F97-489B-AE30-5B9173DBE6AA}"/>
              </c:ext>
            </c:extLst>
          </c:dPt>
          <c:dPt>
            <c:idx val="5"/>
            <c:bubble3D val="0"/>
            <c:spPr>
              <a:solidFill>
                <a:srgbClr val="C0C0C0"/>
              </a:solidFill>
              <a:ln w="12700">
                <a:solidFill>
                  <a:srgbClr val="000000"/>
                </a:solidFill>
                <a:prstDash val="solid"/>
              </a:ln>
            </c:spPr>
            <c:extLst>
              <c:ext xmlns:c16="http://schemas.microsoft.com/office/drawing/2014/chart" uri="{C3380CC4-5D6E-409C-BE32-E72D297353CC}">
                <c16:uniqueId val="{0000000B-5F97-489B-AE30-5B9173DBE6AA}"/>
              </c:ext>
            </c:extLst>
          </c:dPt>
          <c:dLbls>
            <c:numFmt formatCode="0.0%" sourceLinked="0"/>
            <c:spPr>
              <a:noFill/>
              <a:ln>
                <a:noFill/>
              </a:ln>
              <a:effectLst/>
            </c:spPr>
            <c:txPr>
              <a:bodyPr/>
              <a:lstStyle/>
              <a:p>
                <a:pPr>
                  <a:defRPr sz="1000">
                    <a:latin typeface="Arial" pitchFamily="34" charset="0"/>
                    <a:cs typeface="Arial" pitchFamily="34" charset="0"/>
                  </a:defRPr>
                </a:pPr>
                <a:endParaRPr lang="en-US"/>
              </a:p>
            </c:txPr>
            <c:dLblPos val="outEnd"/>
            <c:showLegendKey val="0"/>
            <c:showVal val="0"/>
            <c:showCatName val="1"/>
            <c:showSerName val="0"/>
            <c:showPercent val="1"/>
            <c:showBubbleSize val="0"/>
            <c:showLeaderLines val="0"/>
            <c:extLst>
              <c:ext xmlns:c15="http://schemas.microsoft.com/office/drawing/2012/chart" uri="{CE6537A1-D6FC-4f65-9D91-7224C49458BB}"/>
            </c:extLst>
          </c:dLbls>
          <c:cat>
            <c:strRef>
              <c:f>[1]Bronx!$H$57:$H$62</c:f>
              <c:strCache>
                <c:ptCount val="6"/>
                <c:pt idx="0">
                  <c:v>Government</c:v>
                </c:pt>
                <c:pt idx="1">
                  <c:v>Public Authorities</c:v>
                </c:pt>
                <c:pt idx="2">
                  <c:v>Individual Assistance</c:v>
                </c:pt>
                <c:pt idx="3">
                  <c:v>Institutional</c:v>
                </c:pt>
                <c:pt idx="4">
                  <c:v>Residential</c:v>
                </c:pt>
                <c:pt idx="5">
                  <c:v>Commercial/Industrial</c:v>
                </c:pt>
              </c:strCache>
            </c:strRef>
          </c:cat>
          <c:val>
            <c:numRef>
              <c:f>[1]Brooklyn!$G$59:$G$64</c:f>
              <c:numCache>
                <c:formatCode>General</c:formatCode>
                <c:ptCount val="6"/>
                <c:pt idx="0">
                  <c:v>1438470511</c:v>
                </c:pt>
                <c:pt idx="1">
                  <c:v>508194933</c:v>
                </c:pt>
                <c:pt idx="2">
                  <c:v>97126231</c:v>
                </c:pt>
                <c:pt idx="3">
                  <c:v>421390710</c:v>
                </c:pt>
                <c:pt idx="4">
                  <c:v>643516806</c:v>
                </c:pt>
                <c:pt idx="5">
                  <c:v>138323737</c:v>
                </c:pt>
              </c:numCache>
            </c:numRef>
          </c:val>
          <c:extLst>
            <c:ext xmlns:c16="http://schemas.microsoft.com/office/drawing/2014/chart" uri="{C3380CC4-5D6E-409C-BE32-E72D297353CC}">
              <c16:uniqueId val="{0000000C-5F97-489B-AE30-5B9173DBE6AA}"/>
            </c:ext>
          </c:extLst>
        </c:ser>
        <c:dLbls>
          <c:dLblPos val="outEnd"/>
          <c:showLegendKey val="0"/>
          <c:showVal val="1"/>
          <c:showCatName val="0"/>
          <c:showSerName val="0"/>
          <c:showPercent val="0"/>
          <c:showBubbleSize val="0"/>
          <c:showLeaderLines val="0"/>
        </c:dLbls>
        <c:firstSliceAng val="10"/>
      </c:pieChart>
      <c:spPr>
        <a:noFill/>
        <a:ln w="25400">
          <a:noFill/>
        </a:ln>
      </c:spPr>
    </c:plotArea>
    <c:plotVisOnly val="1"/>
    <c:dispBlanksAs val="zero"/>
    <c:showDLblsOverMax val="0"/>
  </c:chart>
  <c:spPr>
    <a:noFill/>
    <a:ln w="9525">
      <a:noFill/>
    </a:ln>
  </c:spPr>
  <c:txPr>
    <a:bodyPr/>
    <a:lstStyle/>
    <a:p>
      <a:pPr>
        <a:defRPr sz="2375" b="0" i="0" u="none" strike="noStrike" baseline="0">
          <a:solidFill>
            <a:srgbClr val="000000"/>
          </a:solidFill>
          <a:latin typeface="Times New Roman"/>
          <a:ea typeface="Times New Roman"/>
          <a:cs typeface="Times New Roman"/>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Queens Tax Dollar Value of Exemptions</a:t>
            </a:r>
          </a:p>
        </c:rich>
      </c:tx>
      <c:layout>
        <c:manualLayout>
          <c:xMode val="edge"/>
          <c:yMode val="edge"/>
          <c:x val="0.3223144834168456"/>
          <c:y val="3.2828282828282832E-2"/>
        </c:manualLayout>
      </c:layout>
      <c:overlay val="0"/>
      <c:spPr>
        <a:noFill/>
        <a:ln w="25400">
          <a:noFill/>
        </a:ln>
      </c:spPr>
    </c:title>
    <c:autoTitleDeleted val="0"/>
    <c:plotArea>
      <c:layout>
        <c:manualLayout>
          <c:layoutTarget val="inner"/>
          <c:xMode val="edge"/>
          <c:yMode val="edge"/>
          <c:x val="0.36639167741649104"/>
          <c:y val="0.31060682658328054"/>
          <c:w val="0.26859540261735243"/>
          <c:h val="0.49242545677837157"/>
        </c:manualLayout>
      </c:layout>
      <c:pieChart>
        <c:varyColors val="1"/>
        <c:ser>
          <c:idx val="0"/>
          <c:order val="0"/>
          <c:spPr>
            <a:solidFill>
              <a:srgbClr val="9999FF"/>
            </a:solidFill>
            <a:ln w="12700">
              <a:solidFill>
                <a:srgbClr val="000000"/>
              </a:solidFill>
              <a:prstDash val="solid"/>
            </a:ln>
          </c:spPr>
          <c:dPt>
            <c:idx val="0"/>
            <c:bubble3D val="0"/>
            <c:spPr>
              <a:solidFill>
                <a:srgbClr val="000000"/>
              </a:solidFill>
              <a:ln w="12700">
                <a:solidFill>
                  <a:srgbClr val="000000"/>
                </a:solidFill>
                <a:prstDash val="solid"/>
              </a:ln>
            </c:spPr>
            <c:extLst>
              <c:ext xmlns:c16="http://schemas.microsoft.com/office/drawing/2014/chart" uri="{C3380CC4-5D6E-409C-BE32-E72D297353CC}">
                <c16:uniqueId val="{00000001-DE5B-4737-8C52-F2ABD6CE22B7}"/>
              </c:ext>
            </c:extLst>
          </c:dPt>
          <c:dPt>
            <c:idx val="1"/>
            <c:bubble3D val="0"/>
            <c:spPr>
              <a:solidFill>
                <a:srgbClr val="FFFFFF"/>
              </a:solidFill>
              <a:ln w="12700">
                <a:solidFill>
                  <a:srgbClr val="000000"/>
                </a:solidFill>
                <a:prstDash val="solid"/>
              </a:ln>
            </c:spPr>
            <c:extLst>
              <c:ext xmlns:c16="http://schemas.microsoft.com/office/drawing/2014/chart" uri="{C3380CC4-5D6E-409C-BE32-E72D297353CC}">
                <c16:uniqueId val="{00000003-DE5B-4737-8C52-F2ABD6CE22B7}"/>
              </c:ext>
            </c:extLst>
          </c:dPt>
          <c:dPt>
            <c:idx val="2"/>
            <c:bubble3D val="0"/>
            <c:spPr>
              <a:solidFill>
                <a:srgbClr val="333333"/>
              </a:solidFill>
              <a:ln w="12700">
                <a:solidFill>
                  <a:srgbClr val="000000"/>
                </a:solidFill>
                <a:prstDash val="solid"/>
              </a:ln>
            </c:spPr>
            <c:extLst>
              <c:ext xmlns:c16="http://schemas.microsoft.com/office/drawing/2014/chart" uri="{C3380CC4-5D6E-409C-BE32-E72D297353CC}">
                <c16:uniqueId val="{00000005-DE5B-4737-8C52-F2ABD6CE22B7}"/>
              </c:ext>
            </c:extLst>
          </c:dPt>
          <c:dPt>
            <c:idx val="3"/>
            <c:bubble3D val="0"/>
            <c:spPr>
              <a:solidFill>
                <a:srgbClr val="C0C0C0"/>
              </a:solidFill>
              <a:ln w="12700">
                <a:solidFill>
                  <a:srgbClr val="000000"/>
                </a:solidFill>
                <a:prstDash val="solid"/>
              </a:ln>
            </c:spPr>
            <c:extLst>
              <c:ext xmlns:c16="http://schemas.microsoft.com/office/drawing/2014/chart" uri="{C3380CC4-5D6E-409C-BE32-E72D297353CC}">
                <c16:uniqueId val="{00000007-DE5B-4737-8C52-F2ABD6CE22B7}"/>
              </c:ext>
            </c:extLst>
          </c:dPt>
          <c:dPt>
            <c:idx val="4"/>
            <c:bubble3D val="0"/>
            <c:spPr>
              <a:pattFill prst="pct60">
                <a:fgClr>
                  <a:srgbClr xmlns:mc="http://schemas.openxmlformats.org/markup-compatibility/2006" xmlns:a14="http://schemas.microsoft.com/office/drawing/2010/main" val="C0C0C0" mc:Ignorable="a14" a14:legacySpreadsheetColorIndex="22"/>
                </a:fgClr>
                <a:bgClr>
                  <a:srgbClr xmlns:mc="http://schemas.openxmlformats.org/markup-compatibility/2006" xmlns:a14="http://schemas.microsoft.com/office/drawing/2010/main" val="000000" mc:Ignorable="a14" a14:legacySpreadsheetColorIndex="8"/>
                </a:bgClr>
              </a:pattFill>
              <a:ln w="12700">
                <a:solidFill>
                  <a:srgbClr val="000000"/>
                </a:solidFill>
                <a:prstDash val="solid"/>
              </a:ln>
            </c:spPr>
            <c:extLst>
              <c:ext xmlns:c16="http://schemas.microsoft.com/office/drawing/2014/chart" uri="{C3380CC4-5D6E-409C-BE32-E72D297353CC}">
                <c16:uniqueId val="{00000009-DE5B-4737-8C52-F2ABD6CE22B7}"/>
              </c:ext>
            </c:extLst>
          </c:dPt>
          <c:dPt>
            <c:idx val="5"/>
            <c:bubble3D val="0"/>
            <c:spPr>
              <a:solidFill>
                <a:srgbClr val="C0C0C0"/>
              </a:solidFill>
              <a:ln w="12700">
                <a:solidFill>
                  <a:srgbClr val="000000"/>
                </a:solidFill>
                <a:prstDash val="solid"/>
              </a:ln>
            </c:spPr>
            <c:extLst>
              <c:ext xmlns:c16="http://schemas.microsoft.com/office/drawing/2014/chart" uri="{C3380CC4-5D6E-409C-BE32-E72D297353CC}">
                <c16:uniqueId val="{0000000B-DE5B-4737-8C52-F2ABD6CE22B7}"/>
              </c:ext>
            </c:extLst>
          </c:dPt>
          <c:dLbls>
            <c:numFmt formatCode="0.0%" sourceLinked="0"/>
            <c:spPr>
              <a:noFill/>
              <a:ln>
                <a:noFill/>
              </a:ln>
              <a:effectLst/>
            </c:spPr>
            <c:txPr>
              <a:bodyPr/>
              <a:lstStyle/>
              <a:p>
                <a:pPr>
                  <a:defRPr sz="1000">
                    <a:latin typeface="Arial" pitchFamily="34" charset="0"/>
                    <a:cs typeface="Arial" pitchFamily="34" charset="0"/>
                  </a:defRPr>
                </a:pPr>
                <a:endParaRPr lang="en-US"/>
              </a:p>
            </c:txPr>
            <c:dLblPos val="outEnd"/>
            <c:showLegendKey val="0"/>
            <c:showVal val="0"/>
            <c:showCatName val="1"/>
            <c:showSerName val="0"/>
            <c:showPercent val="1"/>
            <c:showBubbleSize val="0"/>
            <c:showLeaderLines val="0"/>
            <c:extLst>
              <c:ext xmlns:c15="http://schemas.microsoft.com/office/drawing/2012/chart" uri="{CE6537A1-D6FC-4f65-9D91-7224C49458BB}"/>
            </c:extLst>
          </c:dLbls>
          <c:cat>
            <c:strRef>
              <c:f>[1]Bronx!$H$57:$H$62</c:f>
              <c:strCache>
                <c:ptCount val="6"/>
                <c:pt idx="0">
                  <c:v>Government</c:v>
                </c:pt>
                <c:pt idx="1">
                  <c:v>Public Authorities</c:v>
                </c:pt>
                <c:pt idx="2">
                  <c:v>Individual Assistance</c:v>
                </c:pt>
                <c:pt idx="3">
                  <c:v>Institutional</c:v>
                </c:pt>
                <c:pt idx="4">
                  <c:v>Residential</c:v>
                </c:pt>
                <c:pt idx="5">
                  <c:v>Commercial/Industrial</c:v>
                </c:pt>
              </c:strCache>
            </c:strRef>
          </c:cat>
          <c:val>
            <c:numRef>
              <c:f>[1]Queens!$G$58:$G$63</c:f>
              <c:numCache>
                <c:formatCode>General</c:formatCode>
                <c:ptCount val="6"/>
                <c:pt idx="0">
                  <c:v>1238201192</c:v>
                </c:pt>
                <c:pt idx="1">
                  <c:v>1749093987</c:v>
                </c:pt>
                <c:pt idx="2">
                  <c:v>154719701</c:v>
                </c:pt>
                <c:pt idx="3">
                  <c:v>364182759</c:v>
                </c:pt>
                <c:pt idx="4">
                  <c:v>306527884</c:v>
                </c:pt>
                <c:pt idx="5">
                  <c:v>260014796</c:v>
                </c:pt>
              </c:numCache>
            </c:numRef>
          </c:val>
          <c:extLst>
            <c:ext xmlns:c16="http://schemas.microsoft.com/office/drawing/2014/chart" uri="{C3380CC4-5D6E-409C-BE32-E72D297353CC}">
              <c16:uniqueId val="{0000000C-DE5B-4737-8C52-F2ABD6CE22B7}"/>
            </c:ext>
          </c:extLst>
        </c:ser>
        <c:dLbls>
          <c:dLblPos val="outEnd"/>
          <c:showLegendKey val="0"/>
          <c:showVal val="1"/>
          <c:showCatName val="0"/>
          <c:showSerName val="0"/>
          <c:showPercent val="0"/>
          <c:showBubbleSize val="0"/>
          <c:showLeaderLines val="0"/>
        </c:dLbls>
        <c:firstSliceAng val="30"/>
      </c:pieChart>
      <c:spPr>
        <a:noFill/>
        <a:ln w="25400">
          <a:noFill/>
        </a:ln>
      </c:spPr>
    </c:plotArea>
    <c:plotVisOnly val="1"/>
    <c:dispBlanksAs val="zero"/>
    <c:showDLblsOverMax val="0"/>
  </c:chart>
  <c:spPr>
    <a:noFill/>
    <a:ln w="9525">
      <a:noFill/>
    </a:ln>
  </c:spPr>
  <c:txPr>
    <a:bodyPr/>
    <a:lstStyle/>
    <a:p>
      <a:pPr>
        <a:defRPr sz="2325" b="0" i="0" u="none" strike="noStrike" baseline="0">
          <a:solidFill>
            <a:srgbClr val="000000"/>
          </a:solidFill>
          <a:latin typeface="Times New Roman"/>
          <a:ea typeface="Times New Roman"/>
          <a:cs typeface="Times New Roman"/>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75" b="1" i="0" u="none" strike="noStrike" baseline="0">
                <a:solidFill>
                  <a:srgbClr val="000000"/>
                </a:solidFill>
                <a:latin typeface="Arial"/>
                <a:ea typeface="Arial"/>
                <a:cs typeface="Arial"/>
              </a:defRPr>
            </a:pPr>
            <a:r>
              <a:rPr lang="en-US"/>
              <a:t>Staten Island Tax Dollar Value of Exemptions</a:t>
            </a:r>
          </a:p>
        </c:rich>
      </c:tx>
      <c:layout>
        <c:manualLayout>
          <c:xMode val="edge"/>
          <c:yMode val="edge"/>
          <c:x val="0.29685362517099861"/>
          <c:y val="3.2828282828282832E-2"/>
        </c:manualLayout>
      </c:layout>
      <c:overlay val="0"/>
      <c:spPr>
        <a:noFill/>
        <a:ln w="25400">
          <a:noFill/>
        </a:ln>
      </c:spPr>
    </c:title>
    <c:autoTitleDeleted val="0"/>
    <c:plotArea>
      <c:layout>
        <c:manualLayout>
          <c:layoutTarget val="inner"/>
          <c:xMode val="edge"/>
          <c:yMode val="edge"/>
          <c:x val="0.36935704514363887"/>
          <c:y val="0.31565734408869972"/>
          <c:w val="0.26128590971272231"/>
          <c:h val="0.48232442176753315"/>
        </c:manualLayout>
      </c:layout>
      <c:pieChart>
        <c:varyColors val="1"/>
        <c:ser>
          <c:idx val="0"/>
          <c:order val="0"/>
          <c:spPr>
            <a:solidFill>
              <a:srgbClr val="9999FF"/>
            </a:solidFill>
            <a:ln w="12700">
              <a:solidFill>
                <a:srgbClr val="000000"/>
              </a:solidFill>
              <a:prstDash val="solid"/>
            </a:ln>
          </c:spPr>
          <c:dPt>
            <c:idx val="0"/>
            <c:bubble3D val="0"/>
            <c:spPr>
              <a:solidFill>
                <a:srgbClr val="000000"/>
              </a:solidFill>
              <a:ln w="12700">
                <a:solidFill>
                  <a:srgbClr val="000000"/>
                </a:solidFill>
                <a:prstDash val="solid"/>
              </a:ln>
            </c:spPr>
            <c:extLst>
              <c:ext xmlns:c16="http://schemas.microsoft.com/office/drawing/2014/chart" uri="{C3380CC4-5D6E-409C-BE32-E72D297353CC}">
                <c16:uniqueId val="{00000001-CF36-47C7-B59A-38ABB3A4FFBF}"/>
              </c:ext>
            </c:extLst>
          </c:dPt>
          <c:dPt>
            <c:idx val="1"/>
            <c:bubble3D val="0"/>
            <c:spPr>
              <a:solidFill>
                <a:srgbClr val="FFFFFF"/>
              </a:solidFill>
              <a:ln w="12700">
                <a:solidFill>
                  <a:srgbClr val="000000"/>
                </a:solidFill>
                <a:prstDash val="solid"/>
              </a:ln>
            </c:spPr>
            <c:extLst>
              <c:ext xmlns:c16="http://schemas.microsoft.com/office/drawing/2014/chart" uri="{C3380CC4-5D6E-409C-BE32-E72D297353CC}">
                <c16:uniqueId val="{00000003-CF36-47C7-B59A-38ABB3A4FFBF}"/>
              </c:ext>
            </c:extLst>
          </c:dPt>
          <c:dPt>
            <c:idx val="2"/>
            <c:bubble3D val="0"/>
            <c:spPr>
              <a:solidFill>
                <a:srgbClr val="333333"/>
              </a:solidFill>
              <a:ln w="12700">
                <a:solidFill>
                  <a:srgbClr val="000000"/>
                </a:solidFill>
                <a:prstDash val="solid"/>
              </a:ln>
            </c:spPr>
            <c:extLst>
              <c:ext xmlns:c16="http://schemas.microsoft.com/office/drawing/2014/chart" uri="{C3380CC4-5D6E-409C-BE32-E72D297353CC}">
                <c16:uniqueId val="{00000005-CF36-47C7-B59A-38ABB3A4FFBF}"/>
              </c:ext>
            </c:extLst>
          </c:dPt>
          <c:dPt>
            <c:idx val="3"/>
            <c:bubble3D val="0"/>
            <c:spPr>
              <a:solidFill>
                <a:srgbClr val="C0C0C0"/>
              </a:solidFill>
              <a:ln w="12700">
                <a:solidFill>
                  <a:srgbClr val="000000"/>
                </a:solidFill>
                <a:prstDash val="solid"/>
              </a:ln>
            </c:spPr>
            <c:extLst>
              <c:ext xmlns:c16="http://schemas.microsoft.com/office/drawing/2014/chart" uri="{C3380CC4-5D6E-409C-BE32-E72D297353CC}">
                <c16:uniqueId val="{00000007-CF36-47C7-B59A-38ABB3A4FFBF}"/>
              </c:ext>
            </c:extLst>
          </c:dPt>
          <c:dPt>
            <c:idx val="4"/>
            <c:bubble3D val="0"/>
            <c:spPr>
              <a:pattFill prst="pct60">
                <a:fgClr>
                  <a:srgbClr xmlns:mc="http://schemas.openxmlformats.org/markup-compatibility/2006" xmlns:a14="http://schemas.microsoft.com/office/drawing/2010/main" val="C0C0C0" mc:Ignorable="a14" a14:legacySpreadsheetColorIndex="22"/>
                </a:fgClr>
                <a:bgClr>
                  <a:srgbClr xmlns:mc="http://schemas.openxmlformats.org/markup-compatibility/2006" xmlns:a14="http://schemas.microsoft.com/office/drawing/2010/main" val="000000" mc:Ignorable="a14" a14:legacySpreadsheetColorIndex="8"/>
                </a:bgClr>
              </a:pattFill>
              <a:ln w="12700">
                <a:solidFill>
                  <a:srgbClr val="000000"/>
                </a:solidFill>
                <a:prstDash val="solid"/>
              </a:ln>
            </c:spPr>
            <c:extLst>
              <c:ext xmlns:c16="http://schemas.microsoft.com/office/drawing/2014/chart" uri="{C3380CC4-5D6E-409C-BE32-E72D297353CC}">
                <c16:uniqueId val="{00000009-CF36-47C7-B59A-38ABB3A4FFBF}"/>
              </c:ext>
            </c:extLst>
          </c:dPt>
          <c:dPt>
            <c:idx val="5"/>
            <c:bubble3D val="0"/>
            <c:spPr>
              <a:solidFill>
                <a:srgbClr val="C0C0C0"/>
              </a:solidFill>
              <a:ln w="12700">
                <a:solidFill>
                  <a:srgbClr val="000000"/>
                </a:solidFill>
                <a:prstDash val="solid"/>
              </a:ln>
            </c:spPr>
            <c:extLst>
              <c:ext xmlns:c16="http://schemas.microsoft.com/office/drawing/2014/chart" uri="{C3380CC4-5D6E-409C-BE32-E72D297353CC}">
                <c16:uniqueId val="{0000000B-CF36-47C7-B59A-38ABB3A4FFBF}"/>
              </c:ext>
            </c:extLst>
          </c:dPt>
          <c:dLbls>
            <c:dLbl>
              <c:idx val="5"/>
              <c:layout>
                <c:manualLayout>
                  <c:x val="8.1553053807286585E-2"/>
                  <c:y val="0"/>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CF36-47C7-B59A-38ABB3A4FFBF}"/>
                </c:ext>
              </c:extLst>
            </c:dLbl>
            <c:numFmt formatCode="0.0%" sourceLinked="0"/>
            <c:spPr>
              <a:noFill/>
              <a:ln>
                <a:noFill/>
              </a:ln>
              <a:effectLst/>
            </c:spPr>
            <c:txPr>
              <a:bodyPr/>
              <a:lstStyle/>
              <a:p>
                <a:pPr>
                  <a:defRPr sz="1000">
                    <a:latin typeface="Arial" pitchFamily="34" charset="0"/>
                    <a:cs typeface="Arial" pitchFamily="34" charset="0"/>
                  </a:defRPr>
                </a:pPr>
                <a:endParaRPr lang="en-US"/>
              </a:p>
            </c:txPr>
            <c:dLblPos val="outEnd"/>
            <c:showLegendKey val="0"/>
            <c:showVal val="0"/>
            <c:showCatName val="1"/>
            <c:showSerName val="0"/>
            <c:showPercent val="1"/>
            <c:showBubbleSize val="0"/>
            <c:showLeaderLines val="0"/>
            <c:extLst>
              <c:ext xmlns:c15="http://schemas.microsoft.com/office/drawing/2012/chart" uri="{CE6537A1-D6FC-4f65-9D91-7224C49458BB}"/>
            </c:extLst>
          </c:dLbls>
          <c:cat>
            <c:strRef>
              <c:f>[1]Bronx!$H$57:$H$62</c:f>
              <c:strCache>
                <c:ptCount val="6"/>
                <c:pt idx="0">
                  <c:v>Government</c:v>
                </c:pt>
                <c:pt idx="1">
                  <c:v>Public Authorities</c:v>
                </c:pt>
                <c:pt idx="2">
                  <c:v>Individual Assistance</c:v>
                </c:pt>
                <c:pt idx="3">
                  <c:v>Institutional</c:v>
                </c:pt>
                <c:pt idx="4">
                  <c:v>Residential</c:v>
                </c:pt>
                <c:pt idx="5">
                  <c:v>Commercial/Industrial</c:v>
                </c:pt>
              </c:strCache>
            </c:strRef>
          </c:cat>
          <c:val>
            <c:numRef>
              <c:f>'[1]S.I.'!$G$58:$G$63</c:f>
              <c:numCache>
                <c:formatCode>General</c:formatCode>
                <c:ptCount val="6"/>
                <c:pt idx="0">
                  <c:v>391081029</c:v>
                </c:pt>
                <c:pt idx="1">
                  <c:v>91795152</c:v>
                </c:pt>
                <c:pt idx="2">
                  <c:v>50073689</c:v>
                </c:pt>
                <c:pt idx="3">
                  <c:v>105017076</c:v>
                </c:pt>
                <c:pt idx="4">
                  <c:v>16820048</c:v>
                </c:pt>
                <c:pt idx="5">
                  <c:v>26475035</c:v>
                </c:pt>
              </c:numCache>
            </c:numRef>
          </c:val>
          <c:extLst>
            <c:ext xmlns:c16="http://schemas.microsoft.com/office/drawing/2014/chart" uri="{C3380CC4-5D6E-409C-BE32-E72D297353CC}">
              <c16:uniqueId val="{0000000C-CF36-47C7-B59A-38ABB3A4FFBF}"/>
            </c:ext>
          </c:extLst>
        </c:ser>
        <c:dLbls>
          <c:dLblPos val="outEnd"/>
          <c:showLegendKey val="0"/>
          <c:showVal val="1"/>
          <c:showCatName val="0"/>
          <c:showSerName val="0"/>
          <c:showPercent val="0"/>
          <c:showBubbleSize val="0"/>
          <c:showLeaderLines val="0"/>
        </c:dLbls>
        <c:firstSliceAng val="10"/>
      </c:pieChart>
      <c:spPr>
        <a:noFill/>
        <a:ln w="25400">
          <a:noFill/>
        </a:ln>
      </c:spPr>
    </c:plotArea>
    <c:plotVisOnly val="1"/>
    <c:dispBlanksAs val="zero"/>
    <c:showDLblsOverMax val="0"/>
  </c:chart>
  <c:spPr>
    <a:noFill/>
    <a:ln w="9525">
      <a:noFill/>
    </a:ln>
  </c:spPr>
  <c:txPr>
    <a:bodyPr/>
    <a:lstStyle/>
    <a:p>
      <a:pPr>
        <a:defRPr sz="2325" b="0" i="0" u="none" strike="noStrike" baseline="0">
          <a:solidFill>
            <a:srgbClr val="000000"/>
          </a:solidFill>
          <a:latin typeface="Times New Roman"/>
          <a:ea typeface="Times New Roman"/>
          <a:cs typeface="Times New Roman"/>
        </a:defRPr>
      </a:pPr>
      <a:endParaRPr lang="en-US"/>
    </a:p>
  </c:txPr>
  <c:printSettings>
    <c:headerFooter alignWithMargins="0"/>
    <c:pageMargins b="1" l="0.75" r="0.75" t="1" header="0.5" footer="0.5"/>
    <c:pageSetup/>
  </c:printSettings>
</c:chartSpace>
</file>

<file path=xl/drawings/_rels/drawing1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19050</xdr:colOff>
      <xdr:row>59</xdr:row>
      <xdr:rowOff>19049</xdr:rowOff>
    </xdr:from>
    <xdr:to>
      <xdr:col>8</xdr:col>
      <xdr:colOff>581024</xdr:colOff>
      <xdr:row>61</xdr:row>
      <xdr:rowOff>60960</xdr:rowOff>
    </xdr:to>
    <xdr:sp macro="" textlink="">
      <xdr:nvSpPr>
        <xdr:cNvPr id="3" name="Text Box 1">
          <a:extLst>
            <a:ext uri="{FF2B5EF4-FFF2-40B4-BE49-F238E27FC236}">
              <a16:creationId xmlns:a16="http://schemas.microsoft.com/office/drawing/2014/main" id="{00000000-0008-0000-0200-000003000000}"/>
            </a:ext>
          </a:extLst>
        </xdr:cNvPr>
        <xdr:cNvSpPr txBox="1">
          <a:spLocks noChangeArrowheads="1"/>
        </xdr:cNvSpPr>
      </xdr:nvSpPr>
      <xdr:spPr bwMode="auto">
        <a:xfrm>
          <a:off x="19050" y="10772774"/>
          <a:ext cx="7762874" cy="34671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900" b="0" i="0" u="none" strike="noStrike" baseline="0">
              <a:solidFill>
                <a:srgbClr val="000000"/>
              </a:solidFill>
              <a:latin typeface="Arial"/>
              <a:cs typeface="Arial"/>
            </a:rPr>
            <a:t>* Classes One and Two show residential unit counts.  Class Four shows gross building area in millions of square feet.  Area figures are not available for Class Three and Class Four Utility property.</a:t>
          </a:r>
        </a:p>
        <a:p>
          <a:pPr algn="l" rtl="0">
            <a:defRPr sz="1000"/>
          </a:pPr>
          <a:r>
            <a:rPr lang="en-US" sz="900" b="0" i="0" u="none" strike="noStrike" baseline="0">
              <a:solidFill>
                <a:srgbClr val="000000"/>
              </a:solidFill>
              <a:latin typeface="Arial"/>
              <a:cs typeface="Arial"/>
            </a:rPr>
            <a:t>    </a:t>
          </a:r>
          <a:endParaRPr lang="en-US" sz="700"/>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0</xdr:col>
      <xdr:colOff>0</xdr:colOff>
      <xdr:row>48</xdr:row>
      <xdr:rowOff>0</xdr:rowOff>
    </xdr:from>
    <xdr:ext cx="6686550" cy="1297919"/>
    <xdr:sp macro="" textlink="">
      <xdr:nvSpPr>
        <xdr:cNvPr id="2" name="TextBox 1">
          <a:extLst>
            <a:ext uri="{FF2B5EF4-FFF2-40B4-BE49-F238E27FC236}">
              <a16:creationId xmlns:a16="http://schemas.microsoft.com/office/drawing/2014/main" id="{00000000-0008-0000-0B00-000002000000}"/>
            </a:ext>
          </a:extLst>
        </xdr:cNvPr>
        <xdr:cNvSpPr txBox="1"/>
      </xdr:nvSpPr>
      <xdr:spPr>
        <a:xfrm>
          <a:off x="0" y="8696325"/>
          <a:ext cx="6686550" cy="12979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 Tax dollar value of exemption equals exempt property value times tax rate.  The exempt property value is actual assessed value (or a portion of actual assessed value for partially exempt properties).  Actual assessed value is the product of the assessment ratio applied to market value.  The reported tax dollar value does not include Payments-In-Lieu-of-Taxes (PILOTS), which reduce the net tax dollar value of the exemption for some parcels.  For information on PILOTS, please see NYC Department of Finance, </a:t>
          </a:r>
          <a:r>
            <a:rPr lang="en-US" sz="1100" i="1">
              <a:solidFill>
                <a:schemeClr val="tx1"/>
              </a:solidFill>
              <a:effectLst/>
              <a:latin typeface="+mn-lt"/>
              <a:ea typeface="+mn-ea"/>
              <a:cs typeface="+mn-cs"/>
            </a:rPr>
            <a:t>Annual Report on Tax Expenditures</a:t>
          </a:r>
          <a:r>
            <a:rPr lang="en-US" sz="1100">
              <a:solidFill>
                <a:schemeClr val="tx1"/>
              </a:solidFill>
              <a:effectLst/>
              <a:latin typeface="+mn-lt"/>
              <a:ea typeface="+mn-ea"/>
              <a:cs typeface="+mn-cs"/>
            </a:rPr>
            <a:t> </a:t>
          </a:r>
          <a:r>
            <a:rPr lang="en-US" sz="1100" u="sng">
              <a:solidFill>
                <a:schemeClr val="tx1"/>
              </a:solidFill>
              <a:effectLst/>
              <a:latin typeface="+mn-lt"/>
              <a:ea typeface="+mn-ea"/>
              <a:cs typeface="+mn-cs"/>
              <a:hlinkClick xmlns:r="http://schemas.openxmlformats.org/officeDocument/2006/relationships" r:id=""/>
            </a:rPr>
            <a:t>http://www1.nyc.gov/assets/finance/downloads/pdf/reports/reports-tax-expenditure/ter_2017_final.pdf</a:t>
          </a:r>
          <a:endParaRPr lang="en-US" sz="1100">
            <a:solidFill>
              <a:schemeClr val="tx1"/>
            </a:solidFill>
            <a:effectLst/>
            <a:latin typeface="+mn-lt"/>
            <a:ea typeface="+mn-ea"/>
            <a:cs typeface="+mn-cs"/>
          </a:endParaRPr>
        </a:p>
        <a:p>
          <a:endParaRPr lang="en-US" sz="1100"/>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48</xdr:row>
      <xdr:rowOff>0</xdr:rowOff>
    </xdr:from>
    <xdr:ext cx="6686550" cy="1297919"/>
    <xdr:sp macro="" textlink="">
      <xdr:nvSpPr>
        <xdr:cNvPr id="3" name="TextBox 2">
          <a:extLst>
            <a:ext uri="{FF2B5EF4-FFF2-40B4-BE49-F238E27FC236}">
              <a16:creationId xmlns:a16="http://schemas.microsoft.com/office/drawing/2014/main" id="{00000000-0008-0000-0C00-000003000000}"/>
            </a:ext>
          </a:extLst>
        </xdr:cNvPr>
        <xdr:cNvSpPr txBox="1"/>
      </xdr:nvSpPr>
      <xdr:spPr>
        <a:xfrm>
          <a:off x="0" y="8696325"/>
          <a:ext cx="6686550" cy="12979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 Tax dollar value of exemption equals exempt property value times tax rate.  The exempt property value is actual assessed value (or a portion of actual assessed value for partially exempt properties).  Actual assessed value is the product of the assessment ratio applied to market value.  The reported tax dollar value does not include Payments-In-Lieu-of-Taxes (PILOTS), which reduce the net tax dollar value of the exemption for some parcels.  For information on PILOTS, please see NYC Department of Finance, </a:t>
          </a:r>
          <a:r>
            <a:rPr lang="en-US" sz="1100" i="1">
              <a:solidFill>
                <a:schemeClr val="tx1"/>
              </a:solidFill>
              <a:effectLst/>
              <a:latin typeface="+mn-lt"/>
              <a:ea typeface="+mn-ea"/>
              <a:cs typeface="+mn-cs"/>
            </a:rPr>
            <a:t>Annual Report on Tax Expenditures</a:t>
          </a:r>
          <a:r>
            <a:rPr lang="en-US" sz="1100">
              <a:solidFill>
                <a:schemeClr val="tx1"/>
              </a:solidFill>
              <a:effectLst/>
              <a:latin typeface="+mn-lt"/>
              <a:ea typeface="+mn-ea"/>
              <a:cs typeface="+mn-cs"/>
            </a:rPr>
            <a:t> </a:t>
          </a:r>
          <a:r>
            <a:rPr lang="en-US" sz="1100" u="sng">
              <a:solidFill>
                <a:schemeClr val="tx1"/>
              </a:solidFill>
              <a:effectLst/>
              <a:latin typeface="+mn-lt"/>
              <a:ea typeface="+mn-ea"/>
              <a:cs typeface="+mn-cs"/>
              <a:hlinkClick xmlns:r="http://schemas.openxmlformats.org/officeDocument/2006/relationships" r:id=""/>
            </a:rPr>
            <a:t>http://www1.nyc.gov/assets/finance/downloads/pdf/reports/reports-tax-expenditure/ter_2017_final.pdf</a:t>
          </a:r>
          <a:endParaRPr lang="en-US" sz="1100">
            <a:solidFill>
              <a:schemeClr val="tx1"/>
            </a:solidFill>
            <a:effectLst/>
            <a:latin typeface="+mn-lt"/>
            <a:ea typeface="+mn-ea"/>
            <a:cs typeface="+mn-cs"/>
          </a:endParaRPr>
        </a:p>
        <a:p>
          <a:endParaRPr lang="en-US" sz="1100"/>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48</xdr:row>
      <xdr:rowOff>0</xdr:rowOff>
    </xdr:from>
    <xdr:ext cx="6686550" cy="1297919"/>
    <xdr:sp macro="" textlink="">
      <xdr:nvSpPr>
        <xdr:cNvPr id="2" name="TextBox 1">
          <a:extLst>
            <a:ext uri="{FF2B5EF4-FFF2-40B4-BE49-F238E27FC236}">
              <a16:creationId xmlns:a16="http://schemas.microsoft.com/office/drawing/2014/main" id="{00000000-0008-0000-0D00-000002000000}"/>
            </a:ext>
          </a:extLst>
        </xdr:cNvPr>
        <xdr:cNvSpPr txBox="1"/>
      </xdr:nvSpPr>
      <xdr:spPr>
        <a:xfrm>
          <a:off x="0" y="8848725"/>
          <a:ext cx="6686550" cy="12979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 Tax dollar value of exemption equals exempt property value times tax rate.  The exempt property value is actual assessed value (or a portion of actual assessed value for partially exempt properties).  Actual assessed value is the product of the assessment ratio applied to market value.  The reported tax dollar value does not include Payments-In-Lieu-of-Taxes (PILOTS), which reduce the net tax dollar value of the exemption for some parcels.  For information on PILOTS, please see NYC Department of Finance, </a:t>
          </a:r>
          <a:r>
            <a:rPr lang="en-US" sz="1100" i="1">
              <a:solidFill>
                <a:schemeClr val="tx1"/>
              </a:solidFill>
              <a:effectLst/>
              <a:latin typeface="+mn-lt"/>
              <a:ea typeface="+mn-ea"/>
              <a:cs typeface="+mn-cs"/>
            </a:rPr>
            <a:t>Annual Report on Tax Expenditures</a:t>
          </a:r>
          <a:r>
            <a:rPr lang="en-US" sz="1100">
              <a:solidFill>
                <a:schemeClr val="tx1"/>
              </a:solidFill>
              <a:effectLst/>
              <a:latin typeface="+mn-lt"/>
              <a:ea typeface="+mn-ea"/>
              <a:cs typeface="+mn-cs"/>
            </a:rPr>
            <a:t> </a:t>
          </a:r>
          <a:r>
            <a:rPr lang="en-US" sz="1100" u="sng">
              <a:solidFill>
                <a:schemeClr val="tx1"/>
              </a:solidFill>
              <a:effectLst/>
              <a:latin typeface="+mn-lt"/>
              <a:ea typeface="+mn-ea"/>
              <a:cs typeface="+mn-cs"/>
              <a:hlinkClick xmlns:r="http://schemas.openxmlformats.org/officeDocument/2006/relationships" r:id=""/>
            </a:rPr>
            <a:t>http://www1.nyc.gov/assets/finance/downloads/pdf/reports/reports-tax-expenditure/ter_2017_final.pdf</a:t>
          </a:r>
          <a:endParaRPr lang="en-US" sz="1100">
            <a:solidFill>
              <a:schemeClr val="tx1"/>
            </a:solidFill>
            <a:effectLst/>
            <a:latin typeface="+mn-lt"/>
            <a:ea typeface="+mn-ea"/>
            <a:cs typeface="+mn-cs"/>
          </a:endParaRPr>
        </a:p>
        <a:p>
          <a:endParaRPr lang="en-US" sz="1100"/>
        </a:p>
      </xdr:txBody>
    </xdr:sp>
    <xdr:clientData/>
  </xdr:oneCellAnchor>
</xdr:wsDr>
</file>

<file path=xl/drawings/drawing13.xml><?xml version="1.0" encoding="utf-8"?>
<xdr:wsDr xmlns:xdr="http://schemas.openxmlformats.org/drawingml/2006/spreadsheetDrawing" xmlns:a="http://schemas.openxmlformats.org/drawingml/2006/main">
  <xdr:twoCellAnchor>
    <xdr:from>
      <xdr:col>0</xdr:col>
      <xdr:colOff>258445</xdr:colOff>
      <xdr:row>31</xdr:row>
      <xdr:rowOff>71755</xdr:rowOff>
    </xdr:from>
    <xdr:to>
      <xdr:col>7</xdr:col>
      <xdr:colOff>0</xdr:colOff>
      <xdr:row>48</xdr:row>
      <xdr:rowOff>190500</xdr:rowOff>
    </xdr:to>
    <xdr:graphicFrame macro="">
      <xdr:nvGraphicFramePr>
        <xdr:cNvPr id="3" name="Chart 2">
          <a:extLst>
            <a:ext uri="{FF2B5EF4-FFF2-40B4-BE49-F238E27FC236}">
              <a16:creationId xmlns:a16="http://schemas.microsoft.com/office/drawing/2014/main" id="{00000000-0008-0000-0E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0</xdr:colOff>
      <xdr:row>55</xdr:row>
      <xdr:rowOff>0</xdr:rowOff>
    </xdr:from>
    <xdr:ext cx="6686550" cy="1297919"/>
    <xdr:sp macro="" textlink="">
      <xdr:nvSpPr>
        <xdr:cNvPr id="4" name="TextBox 3">
          <a:extLst>
            <a:ext uri="{FF2B5EF4-FFF2-40B4-BE49-F238E27FC236}">
              <a16:creationId xmlns:a16="http://schemas.microsoft.com/office/drawing/2014/main" id="{00000000-0008-0000-0E00-000004000000}"/>
            </a:ext>
          </a:extLst>
        </xdr:cNvPr>
        <xdr:cNvSpPr txBox="1"/>
      </xdr:nvSpPr>
      <xdr:spPr>
        <a:xfrm>
          <a:off x="0" y="11001375"/>
          <a:ext cx="6686550" cy="12979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 Tax dollar value of exemption equals exempt property value times tax rate.  The exempt property value is actual assessed value (or a portion of actual assessed value for partially exempt properties).  Actual assessed value is the product of the assessment ratio applied to market value.  The reported tax dollar value does not include Payments-In-Lieu-of-Taxes (PILOTS), which reduce the net tax dollar value of the exemption for some parcels.  For information on PILOTS, please see NYC Department of Finance, </a:t>
          </a:r>
          <a:r>
            <a:rPr lang="en-US" sz="1100" i="1">
              <a:solidFill>
                <a:schemeClr val="tx1"/>
              </a:solidFill>
              <a:effectLst/>
              <a:latin typeface="+mn-lt"/>
              <a:ea typeface="+mn-ea"/>
              <a:cs typeface="+mn-cs"/>
            </a:rPr>
            <a:t>Annual Report on Tax Expenditures</a:t>
          </a:r>
          <a:r>
            <a:rPr lang="en-US" sz="1100">
              <a:solidFill>
                <a:schemeClr val="tx1"/>
              </a:solidFill>
              <a:effectLst/>
              <a:latin typeface="+mn-lt"/>
              <a:ea typeface="+mn-ea"/>
              <a:cs typeface="+mn-cs"/>
            </a:rPr>
            <a:t> </a:t>
          </a:r>
          <a:r>
            <a:rPr lang="en-US" sz="1100" u="sng">
              <a:solidFill>
                <a:schemeClr val="tx1"/>
              </a:solidFill>
              <a:effectLst/>
              <a:latin typeface="+mn-lt"/>
              <a:ea typeface="+mn-ea"/>
              <a:cs typeface="+mn-cs"/>
              <a:hlinkClick xmlns:r="http://schemas.openxmlformats.org/officeDocument/2006/relationships" r:id=""/>
            </a:rPr>
            <a:t>http://www1.nyc.gov/assets/finance/downloads/pdf/reports/reports-tax-expenditure/ter_2017_final.pdf</a:t>
          </a:r>
          <a:endParaRPr lang="en-US" sz="1100">
            <a:solidFill>
              <a:schemeClr val="tx1"/>
            </a:solidFill>
            <a:effectLst/>
            <a:latin typeface="+mn-lt"/>
            <a:ea typeface="+mn-ea"/>
            <a:cs typeface="+mn-cs"/>
          </a:endParaRPr>
        </a:p>
        <a:p>
          <a:endParaRPr lang="en-US" sz="1100"/>
        </a:p>
      </xdr:txBody>
    </xdr:sp>
    <xdr:clientData/>
  </xdr:oneCellAnchor>
</xdr:wsDr>
</file>

<file path=xl/drawings/drawing14.xml><?xml version="1.0" encoding="utf-8"?>
<xdr:wsDr xmlns:xdr="http://schemas.openxmlformats.org/drawingml/2006/spreadsheetDrawing" xmlns:a="http://schemas.openxmlformats.org/drawingml/2006/main">
  <xdr:twoCellAnchor>
    <xdr:from>
      <xdr:col>0</xdr:col>
      <xdr:colOff>171450</xdr:colOff>
      <xdr:row>31</xdr:row>
      <xdr:rowOff>114300</xdr:rowOff>
    </xdr:from>
    <xdr:to>
      <xdr:col>7</xdr:col>
      <xdr:colOff>390525</xdr:colOff>
      <xdr:row>51</xdr:row>
      <xdr:rowOff>66675</xdr:rowOff>
    </xdr:to>
    <xdr:graphicFrame macro="">
      <xdr:nvGraphicFramePr>
        <xdr:cNvPr id="2" name="Chart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0</xdr:colOff>
      <xdr:row>52</xdr:row>
      <xdr:rowOff>0</xdr:rowOff>
    </xdr:from>
    <xdr:ext cx="6686550" cy="1297919"/>
    <xdr:sp macro="" textlink="">
      <xdr:nvSpPr>
        <xdr:cNvPr id="3" name="TextBox 2">
          <a:extLst>
            <a:ext uri="{FF2B5EF4-FFF2-40B4-BE49-F238E27FC236}">
              <a16:creationId xmlns:a16="http://schemas.microsoft.com/office/drawing/2014/main" id="{00000000-0008-0000-0F00-000003000000}"/>
            </a:ext>
          </a:extLst>
        </xdr:cNvPr>
        <xdr:cNvSpPr txBox="1"/>
      </xdr:nvSpPr>
      <xdr:spPr>
        <a:xfrm>
          <a:off x="0" y="9953625"/>
          <a:ext cx="6686550" cy="12979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 Tax dollar value of exemption equals exempt property value times tax rate.  The exempt property value is actual assessed value (or a portion of actual assessed value for partially exempt properties).  Actual assessed value is the product of the assessment ratio applied to market value.  The reported tax dollar value does not include Payments-In-Lieu-of-Taxes (PILOTS), which reduce the net tax dollar value of the exemption for some parcels.  For information on PILOTS, please see NYC Department of Finance, </a:t>
          </a:r>
          <a:r>
            <a:rPr lang="en-US" sz="1100" i="1">
              <a:solidFill>
                <a:schemeClr val="tx1"/>
              </a:solidFill>
              <a:effectLst/>
              <a:latin typeface="+mn-lt"/>
              <a:ea typeface="+mn-ea"/>
              <a:cs typeface="+mn-cs"/>
            </a:rPr>
            <a:t>Annual Report on Tax Expenditures</a:t>
          </a:r>
          <a:r>
            <a:rPr lang="en-US" sz="1100">
              <a:solidFill>
                <a:schemeClr val="tx1"/>
              </a:solidFill>
              <a:effectLst/>
              <a:latin typeface="+mn-lt"/>
              <a:ea typeface="+mn-ea"/>
              <a:cs typeface="+mn-cs"/>
            </a:rPr>
            <a:t> </a:t>
          </a:r>
          <a:r>
            <a:rPr lang="en-US" sz="1100" u="sng">
              <a:solidFill>
                <a:schemeClr val="tx1"/>
              </a:solidFill>
              <a:effectLst/>
              <a:latin typeface="+mn-lt"/>
              <a:ea typeface="+mn-ea"/>
              <a:cs typeface="+mn-cs"/>
              <a:hlinkClick xmlns:r="http://schemas.openxmlformats.org/officeDocument/2006/relationships" r:id=""/>
            </a:rPr>
            <a:t>http://www1.nyc.gov/assets/finance/downloads/pdf/reports/reports-tax-expenditure/ter_2017_final.pdf</a:t>
          </a:r>
          <a:endParaRPr lang="en-US" sz="1100">
            <a:solidFill>
              <a:schemeClr val="tx1"/>
            </a:solidFill>
            <a:effectLst/>
            <a:latin typeface="+mn-lt"/>
            <a:ea typeface="+mn-ea"/>
            <a:cs typeface="+mn-cs"/>
          </a:endParaRPr>
        </a:p>
        <a:p>
          <a:endParaRPr lang="en-US" sz="1100"/>
        </a:p>
      </xdr:txBody>
    </xdr:sp>
    <xdr:clientData/>
  </xdr:oneCellAnchor>
</xdr:wsDr>
</file>

<file path=xl/drawings/drawing15.xml><?xml version="1.0" encoding="utf-8"?>
<xdr:wsDr xmlns:xdr="http://schemas.openxmlformats.org/drawingml/2006/spreadsheetDrawing" xmlns:a="http://schemas.openxmlformats.org/drawingml/2006/main">
  <xdr:twoCellAnchor>
    <xdr:from>
      <xdr:col>0</xdr:col>
      <xdr:colOff>19050</xdr:colOff>
      <xdr:row>30</xdr:row>
      <xdr:rowOff>171450</xdr:rowOff>
    </xdr:from>
    <xdr:to>
      <xdr:col>7</xdr:col>
      <xdr:colOff>409575</xdr:colOff>
      <xdr:row>49</xdr:row>
      <xdr:rowOff>133350</xdr:rowOff>
    </xdr:to>
    <xdr:graphicFrame macro="">
      <xdr:nvGraphicFramePr>
        <xdr:cNvPr id="3" name="Chart 1">
          <a:extLst>
            <a:ext uri="{FF2B5EF4-FFF2-40B4-BE49-F238E27FC236}">
              <a16:creationId xmlns:a16="http://schemas.microsoft.com/office/drawing/2014/main" id="{00000000-0008-0000-1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0</xdr:colOff>
      <xdr:row>50</xdr:row>
      <xdr:rowOff>0</xdr:rowOff>
    </xdr:from>
    <xdr:ext cx="6686550" cy="1297919"/>
    <xdr:sp macro="" textlink="">
      <xdr:nvSpPr>
        <xdr:cNvPr id="5" name="TextBox 4">
          <a:extLst>
            <a:ext uri="{FF2B5EF4-FFF2-40B4-BE49-F238E27FC236}">
              <a16:creationId xmlns:a16="http://schemas.microsoft.com/office/drawing/2014/main" id="{00000000-0008-0000-1000-000005000000}"/>
            </a:ext>
          </a:extLst>
        </xdr:cNvPr>
        <xdr:cNvSpPr txBox="1"/>
      </xdr:nvSpPr>
      <xdr:spPr>
        <a:xfrm>
          <a:off x="0" y="9953625"/>
          <a:ext cx="6686550" cy="12979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 Tax dollar value of exemption equals exempt property value times tax rate.  The exempt property value is actual assessed value (or a portion of actual assessed value for partially exempt properties).  Actual assessed value is the product of the assessment ratio applied to market value.  The reported tax dollar value does not include Payments-In-Lieu-of-Taxes (PILOTS), which reduce the net tax dollar value of the exemption for some parcels.  For information on PILOTS, please see NYC Department of Finance, </a:t>
          </a:r>
          <a:r>
            <a:rPr lang="en-US" sz="1100" i="1">
              <a:solidFill>
                <a:schemeClr val="tx1"/>
              </a:solidFill>
              <a:effectLst/>
              <a:latin typeface="+mn-lt"/>
              <a:ea typeface="+mn-ea"/>
              <a:cs typeface="+mn-cs"/>
            </a:rPr>
            <a:t>Annual Report on Tax Expenditures</a:t>
          </a:r>
          <a:r>
            <a:rPr lang="en-US" sz="1100">
              <a:solidFill>
                <a:schemeClr val="tx1"/>
              </a:solidFill>
              <a:effectLst/>
              <a:latin typeface="+mn-lt"/>
              <a:ea typeface="+mn-ea"/>
              <a:cs typeface="+mn-cs"/>
            </a:rPr>
            <a:t> </a:t>
          </a:r>
          <a:r>
            <a:rPr lang="en-US" sz="1100" u="sng">
              <a:solidFill>
                <a:schemeClr val="tx1"/>
              </a:solidFill>
              <a:effectLst/>
              <a:latin typeface="+mn-lt"/>
              <a:ea typeface="+mn-ea"/>
              <a:cs typeface="+mn-cs"/>
              <a:hlinkClick xmlns:r="http://schemas.openxmlformats.org/officeDocument/2006/relationships" r:id=""/>
            </a:rPr>
            <a:t>http://www1.nyc.gov/assets/finance/downloads/pdf/reports/reports-tax-expenditure/ter_2017_final.pdf</a:t>
          </a:r>
          <a:endParaRPr lang="en-US" sz="1100">
            <a:solidFill>
              <a:schemeClr val="tx1"/>
            </a:solidFill>
            <a:effectLst/>
            <a:latin typeface="+mn-lt"/>
            <a:ea typeface="+mn-ea"/>
            <a:cs typeface="+mn-cs"/>
          </a:endParaRPr>
        </a:p>
        <a:p>
          <a:endParaRPr lang="en-US" sz="1100"/>
        </a:p>
      </xdr:txBody>
    </xdr:sp>
    <xdr:clientData/>
  </xdr:oneCellAnchor>
</xdr:wsDr>
</file>

<file path=xl/drawings/drawing16.xml><?xml version="1.0" encoding="utf-8"?>
<xdr:wsDr xmlns:xdr="http://schemas.openxmlformats.org/drawingml/2006/spreadsheetDrawing" xmlns:a="http://schemas.openxmlformats.org/drawingml/2006/main">
  <xdr:twoCellAnchor>
    <xdr:from>
      <xdr:col>0</xdr:col>
      <xdr:colOff>247650</xdr:colOff>
      <xdr:row>29</xdr:row>
      <xdr:rowOff>200024</xdr:rowOff>
    </xdr:from>
    <xdr:to>
      <xdr:col>6</xdr:col>
      <xdr:colOff>792479</xdr:colOff>
      <xdr:row>49</xdr:row>
      <xdr:rowOff>152399</xdr:rowOff>
    </xdr:to>
    <xdr:graphicFrame macro="">
      <xdr:nvGraphicFramePr>
        <xdr:cNvPr id="2" name="Chart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0</xdr:colOff>
      <xdr:row>50</xdr:row>
      <xdr:rowOff>0</xdr:rowOff>
    </xdr:from>
    <xdr:ext cx="6686550" cy="1297919"/>
    <xdr:sp macro="" textlink="">
      <xdr:nvSpPr>
        <xdr:cNvPr id="4" name="TextBox 3">
          <a:extLst>
            <a:ext uri="{FF2B5EF4-FFF2-40B4-BE49-F238E27FC236}">
              <a16:creationId xmlns:a16="http://schemas.microsoft.com/office/drawing/2014/main" id="{00000000-0008-0000-1100-000004000000}"/>
            </a:ext>
          </a:extLst>
        </xdr:cNvPr>
        <xdr:cNvSpPr txBox="1"/>
      </xdr:nvSpPr>
      <xdr:spPr>
        <a:xfrm>
          <a:off x="0" y="10001250"/>
          <a:ext cx="6686550" cy="12979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 Tax dollar value of exemption equals exempt property value times tax rate.  The exempt property value is actual assessed value (or a portion of actual assessed value for partially exempt properties).  Actual assessed value is the product of the assessment ratio applied to market value.  The reported tax dollar value does not include Payments-In-Lieu-of-Taxes (PILOTS), which reduce the net tax dollar value of the exemption for some parcels.  For information on PILOTS, please see NYC Department of Finance, </a:t>
          </a:r>
          <a:r>
            <a:rPr lang="en-US" sz="1100" i="1">
              <a:solidFill>
                <a:schemeClr val="tx1"/>
              </a:solidFill>
              <a:effectLst/>
              <a:latin typeface="+mn-lt"/>
              <a:ea typeface="+mn-ea"/>
              <a:cs typeface="+mn-cs"/>
            </a:rPr>
            <a:t>Annual Report on Tax Expenditures</a:t>
          </a:r>
          <a:r>
            <a:rPr lang="en-US" sz="1100">
              <a:solidFill>
                <a:schemeClr val="tx1"/>
              </a:solidFill>
              <a:effectLst/>
              <a:latin typeface="+mn-lt"/>
              <a:ea typeface="+mn-ea"/>
              <a:cs typeface="+mn-cs"/>
            </a:rPr>
            <a:t> </a:t>
          </a:r>
          <a:r>
            <a:rPr lang="en-US" sz="1100" u="sng">
              <a:solidFill>
                <a:schemeClr val="tx1"/>
              </a:solidFill>
              <a:effectLst/>
              <a:latin typeface="+mn-lt"/>
              <a:ea typeface="+mn-ea"/>
              <a:cs typeface="+mn-cs"/>
              <a:hlinkClick xmlns:r="http://schemas.openxmlformats.org/officeDocument/2006/relationships" r:id=""/>
            </a:rPr>
            <a:t>http://www1.nyc.gov/assets/finance/downloads/pdf/reports/reports-tax-expenditure/ter_2017_final.pdf</a:t>
          </a:r>
          <a:endParaRPr lang="en-US" sz="1100">
            <a:solidFill>
              <a:schemeClr val="tx1"/>
            </a:solidFill>
            <a:effectLst/>
            <a:latin typeface="+mn-lt"/>
            <a:ea typeface="+mn-ea"/>
            <a:cs typeface="+mn-cs"/>
          </a:endParaRPr>
        </a:p>
        <a:p>
          <a:endParaRPr lang="en-US" sz="1100"/>
        </a:p>
      </xdr:txBody>
    </xdr:sp>
    <xdr:clientData/>
  </xdr:oneCellAnchor>
</xdr:wsDr>
</file>

<file path=xl/drawings/drawing17.xml><?xml version="1.0" encoding="utf-8"?>
<xdr:wsDr xmlns:xdr="http://schemas.openxmlformats.org/drawingml/2006/spreadsheetDrawing" xmlns:a="http://schemas.openxmlformats.org/drawingml/2006/main">
  <xdr:twoCellAnchor>
    <xdr:from>
      <xdr:col>0</xdr:col>
      <xdr:colOff>266700</xdr:colOff>
      <xdr:row>30</xdr:row>
      <xdr:rowOff>133350</xdr:rowOff>
    </xdr:from>
    <xdr:to>
      <xdr:col>7</xdr:col>
      <xdr:colOff>409575</xdr:colOff>
      <xdr:row>49</xdr:row>
      <xdr:rowOff>104775</xdr:rowOff>
    </xdr:to>
    <xdr:graphicFrame macro="">
      <xdr:nvGraphicFramePr>
        <xdr:cNvPr id="2" name="Chart 1">
          <a:extLst>
            <a:ext uri="{FF2B5EF4-FFF2-40B4-BE49-F238E27FC236}">
              <a16:creationId xmlns:a16="http://schemas.microsoft.com/office/drawing/2014/main" id="{00000000-0008-0000-1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0</xdr:colOff>
      <xdr:row>51</xdr:row>
      <xdr:rowOff>0</xdr:rowOff>
    </xdr:from>
    <xdr:ext cx="6686550" cy="1297919"/>
    <xdr:sp macro="" textlink="">
      <xdr:nvSpPr>
        <xdr:cNvPr id="4" name="TextBox 3">
          <a:extLst>
            <a:ext uri="{FF2B5EF4-FFF2-40B4-BE49-F238E27FC236}">
              <a16:creationId xmlns:a16="http://schemas.microsoft.com/office/drawing/2014/main" id="{00000000-0008-0000-1200-000004000000}"/>
            </a:ext>
          </a:extLst>
        </xdr:cNvPr>
        <xdr:cNvSpPr txBox="1"/>
      </xdr:nvSpPr>
      <xdr:spPr>
        <a:xfrm>
          <a:off x="0" y="10201275"/>
          <a:ext cx="6686550" cy="12979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 Tax dollar value of exemption equals exempt property value times tax rate.  The exempt property value is actual assessed value (or a portion of actual assessed value for partially exempt properties).  Actual assessed value is the product of the assessment ratio applied to market value.  The reported tax dollar value does not include Payments-In-Lieu-of-Taxes (PILOTS), which reduce the net tax dollar value of the exemption for some parcels.  For information on PILOTS, please see NYC Department of Finance, </a:t>
          </a:r>
          <a:r>
            <a:rPr lang="en-US" sz="1100" i="1">
              <a:solidFill>
                <a:schemeClr val="tx1"/>
              </a:solidFill>
              <a:effectLst/>
              <a:latin typeface="+mn-lt"/>
              <a:ea typeface="+mn-ea"/>
              <a:cs typeface="+mn-cs"/>
            </a:rPr>
            <a:t>Annual Report on Tax Expenditures</a:t>
          </a:r>
          <a:r>
            <a:rPr lang="en-US" sz="1100">
              <a:solidFill>
                <a:schemeClr val="tx1"/>
              </a:solidFill>
              <a:effectLst/>
              <a:latin typeface="+mn-lt"/>
              <a:ea typeface="+mn-ea"/>
              <a:cs typeface="+mn-cs"/>
            </a:rPr>
            <a:t> </a:t>
          </a:r>
          <a:r>
            <a:rPr lang="en-US" sz="1100" u="sng">
              <a:solidFill>
                <a:schemeClr val="tx1"/>
              </a:solidFill>
              <a:effectLst/>
              <a:latin typeface="+mn-lt"/>
              <a:ea typeface="+mn-ea"/>
              <a:cs typeface="+mn-cs"/>
              <a:hlinkClick xmlns:r="http://schemas.openxmlformats.org/officeDocument/2006/relationships" r:id=""/>
            </a:rPr>
            <a:t>http://www1.nyc.gov/assets/finance/downloads/pdf/reports/reports-tax-expenditure/ter_2017_final.pdf</a:t>
          </a:r>
          <a:endParaRPr lang="en-US" sz="1100">
            <a:solidFill>
              <a:schemeClr val="tx1"/>
            </a:solidFill>
            <a:effectLst/>
            <a:latin typeface="+mn-lt"/>
            <a:ea typeface="+mn-ea"/>
            <a:cs typeface="+mn-cs"/>
          </a:endParaRPr>
        </a:p>
        <a:p>
          <a:endParaRPr lang="en-US" sz="1100"/>
        </a:p>
      </xdr:txBody>
    </xdr:sp>
    <xdr:clientData/>
  </xdr:oneCellAnchor>
</xdr:wsDr>
</file>

<file path=xl/drawings/drawing18.xml><?xml version="1.0" encoding="utf-8"?>
<xdr:wsDr xmlns:xdr="http://schemas.openxmlformats.org/drawingml/2006/spreadsheetDrawing" xmlns:a="http://schemas.openxmlformats.org/drawingml/2006/main">
  <xdr:twoCellAnchor>
    <xdr:from>
      <xdr:col>0</xdr:col>
      <xdr:colOff>266700</xdr:colOff>
      <xdr:row>27</xdr:row>
      <xdr:rowOff>114300</xdr:rowOff>
    </xdr:from>
    <xdr:to>
      <xdr:col>7</xdr:col>
      <xdr:colOff>409575</xdr:colOff>
      <xdr:row>46</xdr:row>
      <xdr:rowOff>85725</xdr:rowOff>
    </xdr:to>
    <xdr:graphicFrame macro="">
      <xdr:nvGraphicFramePr>
        <xdr:cNvPr id="2" name="Chart 1">
          <a:extLst>
            <a:ext uri="{FF2B5EF4-FFF2-40B4-BE49-F238E27FC236}">
              <a16:creationId xmlns:a16="http://schemas.microsoft.com/office/drawing/2014/main" id="{00000000-0008-0000-1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0</xdr:colOff>
      <xdr:row>50</xdr:row>
      <xdr:rowOff>0</xdr:rowOff>
    </xdr:from>
    <xdr:ext cx="6686550" cy="1297919"/>
    <xdr:sp macro="" textlink="">
      <xdr:nvSpPr>
        <xdr:cNvPr id="3" name="TextBox 2">
          <a:extLst>
            <a:ext uri="{FF2B5EF4-FFF2-40B4-BE49-F238E27FC236}">
              <a16:creationId xmlns:a16="http://schemas.microsoft.com/office/drawing/2014/main" id="{00000000-0008-0000-1300-000003000000}"/>
            </a:ext>
          </a:extLst>
        </xdr:cNvPr>
        <xdr:cNvSpPr txBox="1"/>
      </xdr:nvSpPr>
      <xdr:spPr>
        <a:xfrm>
          <a:off x="0" y="10001250"/>
          <a:ext cx="6686550" cy="12979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 Tax dollar value of exemption equals exempt property value times tax rate.  The exempt property value is actual assessed value (or a portion of actual assessed value for partially exempt properties).  Actual assessed value is the product of the assessment ratio applied to market value.  The reported tax dollar value does not include Payments-In-Lieu-of-Taxes (PILOTS), which reduce the net tax dollar value of the exemption for some parcels.  For information on PILOTS, please see NYC Department of Finance, </a:t>
          </a:r>
          <a:r>
            <a:rPr lang="en-US" sz="1100" i="1">
              <a:solidFill>
                <a:schemeClr val="tx1"/>
              </a:solidFill>
              <a:effectLst/>
              <a:latin typeface="+mn-lt"/>
              <a:ea typeface="+mn-ea"/>
              <a:cs typeface="+mn-cs"/>
            </a:rPr>
            <a:t>Annual Report on Tax Expenditures</a:t>
          </a:r>
          <a:r>
            <a:rPr lang="en-US" sz="1100">
              <a:solidFill>
                <a:schemeClr val="tx1"/>
              </a:solidFill>
              <a:effectLst/>
              <a:latin typeface="+mn-lt"/>
              <a:ea typeface="+mn-ea"/>
              <a:cs typeface="+mn-cs"/>
            </a:rPr>
            <a:t> </a:t>
          </a:r>
          <a:r>
            <a:rPr lang="en-US" sz="1100" u="sng">
              <a:solidFill>
                <a:schemeClr val="tx1"/>
              </a:solidFill>
              <a:effectLst/>
              <a:latin typeface="+mn-lt"/>
              <a:ea typeface="+mn-ea"/>
              <a:cs typeface="+mn-cs"/>
              <a:hlinkClick xmlns:r="http://schemas.openxmlformats.org/officeDocument/2006/relationships" r:id=""/>
            </a:rPr>
            <a:t>http://www1.nyc.gov/assets/finance/downloads/pdf/reports/reports-tax-expenditure/ter_2017_final.pdf</a:t>
          </a:r>
          <a:endParaRPr lang="en-US" sz="1100">
            <a:solidFill>
              <a:schemeClr val="tx1"/>
            </a:solidFill>
            <a:effectLst/>
            <a:latin typeface="+mn-lt"/>
            <a:ea typeface="+mn-ea"/>
            <a:cs typeface="+mn-cs"/>
          </a:endParaRPr>
        </a:p>
        <a:p>
          <a:endParaRPr lang="en-US" sz="1100"/>
        </a:p>
      </xdr:txBody>
    </xdr:sp>
    <xdr:clientData/>
  </xdr:oneCellAnchor>
</xdr:wsDr>
</file>

<file path=xl/drawings/drawing19.xml><?xml version="1.0" encoding="utf-8"?>
<xdr:wsDr xmlns:xdr="http://schemas.openxmlformats.org/drawingml/2006/spreadsheetDrawing" xmlns:a="http://schemas.openxmlformats.org/drawingml/2006/main">
  <xdr:oneCellAnchor>
    <xdr:from>
      <xdr:col>1</xdr:col>
      <xdr:colOff>352425</xdr:colOff>
      <xdr:row>54</xdr:row>
      <xdr:rowOff>123825</xdr:rowOff>
    </xdr:from>
    <xdr:ext cx="8598123" cy="2159053"/>
    <xdr:sp macro="" textlink="">
      <xdr:nvSpPr>
        <xdr:cNvPr id="2" name="TextBox 1">
          <a:extLst>
            <a:ext uri="{FF2B5EF4-FFF2-40B4-BE49-F238E27FC236}">
              <a16:creationId xmlns:a16="http://schemas.microsoft.com/office/drawing/2014/main" id="{00000000-0008-0000-1D00-000002000000}"/>
            </a:ext>
          </a:extLst>
        </xdr:cNvPr>
        <xdr:cNvSpPr txBox="1"/>
      </xdr:nvSpPr>
      <xdr:spPr>
        <a:xfrm>
          <a:off x="1095375" y="11191875"/>
          <a:ext cx="8598123" cy="21590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chemeClr val="tx1"/>
              </a:solidFill>
              <a:effectLst/>
              <a:latin typeface="+mn-lt"/>
              <a:ea typeface="+mn-ea"/>
              <a:cs typeface="+mn-cs"/>
            </a:rPr>
            <a:t>NOTE:</a:t>
          </a:r>
        </a:p>
        <a:p>
          <a:r>
            <a:rPr lang="en-US" sz="1100">
              <a:solidFill>
                <a:schemeClr val="tx1"/>
              </a:solidFill>
              <a:effectLst/>
              <a:latin typeface="+mn-lt"/>
              <a:ea typeface="+mn-ea"/>
              <a:cs typeface="+mn-cs"/>
            </a:rPr>
            <a:t> </a:t>
          </a:r>
        </a:p>
        <a:p>
          <a:r>
            <a:rPr lang="en-US" sz="1100">
              <a:solidFill>
                <a:schemeClr val="tx1"/>
              </a:solidFill>
              <a:effectLst/>
              <a:latin typeface="+mn-lt"/>
              <a:ea typeface="+mn-ea"/>
              <a:cs typeface="+mn-cs"/>
            </a:rPr>
            <a:t>Owners of coop and condo apartments who use their units as a primary residence are eligible for an abatement according to the schedule below.   </a:t>
          </a:r>
        </a:p>
        <a:p>
          <a:r>
            <a:rPr lang="en-US" sz="1100">
              <a:solidFill>
                <a:schemeClr val="tx1"/>
              </a:solidFill>
              <a:effectLst/>
              <a:latin typeface="+mn-lt"/>
              <a:ea typeface="+mn-ea"/>
              <a:cs typeface="+mn-cs"/>
            </a:rPr>
            <a:t> </a:t>
          </a:r>
        </a:p>
        <a:p>
          <a:r>
            <a:rPr lang="en-US" sz="1100" u="sng">
              <a:solidFill>
                <a:schemeClr val="tx1"/>
              </a:solidFill>
              <a:effectLst/>
              <a:latin typeface="+mn-lt"/>
              <a:ea typeface="+mn-ea"/>
              <a:cs typeface="+mn-cs"/>
            </a:rPr>
            <a:t>Average Assessed Value </a:t>
          </a:r>
          <a:r>
            <a:rPr lang="en-US" sz="1100">
              <a:solidFill>
                <a:schemeClr val="tx1"/>
              </a:solidFill>
              <a:effectLst/>
              <a:latin typeface="+mn-lt"/>
              <a:ea typeface="+mn-ea"/>
              <a:cs typeface="+mn-cs"/>
            </a:rPr>
            <a:t>         			</a:t>
          </a:r>
          <a:r>
            <a:rPr lang="en-US" sz="1100" u="sng">
              <a:solidFill>
                <a:schemeClr val="tx1"/>
              </a:solidFill>
              <a:effectLst/>
              <a:latin typeface="+mn-lt"/>
              <a:ea typeface="+mn-ea"/>
              <a:cs typeface="+mn-cs"/>
            </a:rPr>
            <a:t>Abatement percentage</a:t>
          </a:r>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$50,000 or less					28.1%</a:t>
          </a:r>
        </a:p>
        <a:p>
          <a:r>
            <a:rPr lang="en-US" sz="1100">
              <a:solidFill>
                <a:schemeClr val="tx1"/>
              </a:solidFill>
              <a:effectLst/>
              <a:latin typeface="+mn-lt"/>
              <a:ea typeface="+mn-ea"/>
              <a:cs typeface="+mn-cs"/>
            </a:rPr>
            <a:t>$50,001 to $55,000				25.2%</a:t>
          </a:r>
        </a:p>
        <a:p>
          <a:r>
            <a:rPr lang="en-US" sz="1100">
              <a:solidFill>
                <a:schemeClr val="tx1"/>
              </a:solidFill>
              <a:effectLst/>
              <a:latin typeface="+mn-lt"/>
              <a:ea typeface="+mn-ea"/>
              <a:cs typeface="+mn-cs"/>
            </a:rPr>
            <a:t>$55,001 to $60,000				22.5%</a:t>
          </a:r>
        </a:p>
        <a:p>
          <a:r>
            <a:rPr lang="en-US" sz="1100">
              <a:solidFill>
                <a:schemeClr val="tx1"/>
              </a:solidFill>
              <a:effectLst/>
              <a:latin typeface="+mn-lt"/>
              <a:ea typeface="+mn-ea"/>
              <a:cs typeface="+mn-cs"/>
            </a:rPr>
            <a:t>$60,001 and above				17.5%</a:t>
          </a:r>
        </a:p>
        <a:p>
          <a:r>
            <a:rPr lang="en-US" sz="1100">
              <a:solidFill>
                <a:schemeClr val="tx1"/>
              </a:solidFill>
              <a:effectLst/>
              <a:latin typeface="+mn-lt"/>
              <a:ea typeface="+mn-ea"/>
              <a:cs typeface="+mn-cs"/>
            </a:rPr>
            <a:t> </a:t>
          </a:r>
        </a:p>
        <a:p>
          <a:r>
            <a:rPr lang="en-US" sz="1100">
              <a:solidFill>
                <a:schemeClr val="tx1"/>
              </a:solidFill>
              <a:effectLst/>
              <a:latin typeface="+mn-lt"/>
              <a:ea typeface="+mn-ea"/>
              <a:cs typeface="+mn-cs"/>
            </a:rPr>
            <a:t>Owners not using the unit as a primary residence are no longer eligible for an abatement. </a:t>
          </a:r>
        </a:p>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38099</xdr:colOff>
      <xdr:row>59</xdr:row>
      <xdr:rowOff>7621</xdr:rowOff>
    </xdr:from>
    <xdr:to>
      <xdr:col>8</xdr:col>
      <xdr:colOff>581024</xdr:colOff>
      <xdr:row>61</xdr:row>
      <xdr:rowOff>60960</xdr:rowOff>
    </xdr:to>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38099" y="10770871"/>
          <a:ext cx="7629525" cy="3390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900" b="0" i="0" u="none" strike="noStrike" baseline="0">
              <a:solidFill>
                <a:srgbClr val="000000"/>
              </a:solidFill>
              <a:latin typeface="Arial"/>
              <a:cs typeface="Arial"/>
            </a:rPr>
            <a:t>* Classes One and Two show residential unit counts.  Class Four shows gross building area in millions of square feet.  Area figures are not available for Class Three and Class Four Utility property.</a:t>
          </a:r>
        </a:p>
        <a:p>
          <a:pPr algn="l" rtl="0">
            <a:defRPr sz="1000"/>
          </a:pPr>
          <a:endParaRPr lang="en-US" sz="900" b="0" i="0" u="none" strike="noStrike" baseline="0">
            <a:solidFill>
              <a:srgbClr val="000000"/>
            </a:solidFill>
            <a:latin typeface="Arial"/>
            <a:cs typeface="Arial"/>
          </a:endParaRPr>
        </a:p>
        <a:p>
          <a:pPr algn="l" rtl="0">
            <a:defRPr sz="1000"/>
          </a:pP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    </a:t>
          </a:r>
          <a:endParaRPr lang="en-US" sz="7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xdr:colOff>
      <xdr:row>59</xdr:row>
      <xdr:rowOff>9525</xdr:rowOff>
    </xdr:from>
    <xdr:to>
      <xdr:col>8</xdr:col>
      <xdr:colOff>581026</xdr:colOff>
      <xdr:row>60</xdr:row>
      <xdr:rowOff>160020</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1" y="10763250"/>
          <a:ext cx="7772400" cy="3314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900" b="0" i="0" u="none" strike="noStrike" baseline="0">
              <a:solidFill>
                <a:srgbClr val="000000"/>
              </a:solidFill>
              <a:latin typeface="Arial"/>
              <a:cs typeface="Arial"/>
            </a:rPr>
            <a:t>* Classes One and Two show residential unit counts.  Class Four shows gross building area in millions of square feet.  Area figures are not available for Class Three and Class Four Utility property.</a:t>
          </a:r>
        </a:p>
        <a:p>
          <a:pPr algn="l" rtl="0">
            <a:defRPr sz="1000"/>
          </a:pPr>
          <a:endParaRPr lang="en-US" sz="900" b="0" i="0" u="none" strike="noStrike" baseline="0">
            <a:solidFill>
              <a:srgbClr val="000000"/>
            </a:solidFill>
            <a:latin typeface="Arial"/>
            <a:ea typeface="+mn-ea"/>
            <a:cs typeface="Arial"/>
          </a:endParaRPr>
        </a:p>
        <a:p>
          <a:pPr algn="l" rtl="0">
            <a:defRPr sz="1000"/>
          </a:pPr>
          <a:endParaRPr lang="en-US" sz="7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xdr:colOff>
      <xdr:row>59</xdr:row>
      <xdr:rowOff>5715</xdr:rowOff>
    </xdr:from>
    <xdr:to>
      <xdr:col>8</xdr:col>
      <xdr:colOff>590550</xdr:colOff>
      <xdr:row>61</xdr:row>
      <xdr:rowOff>68580</xdr:rowOff>
    </xdr:to>
    <xdr:sp macro="" textlink="">
      <xdr:nvSpPr>
        <xdr:cNvPr id="2" name="Text Box 1">
          <a:extLst>
            <a:ext uri="{FF2B5EF4-FFF2-40B4-BE49-F238E27FC236}">
              <a16:creationId xmlns:a16="http://schemas.microsoft.com/office/drawing/2014/main" id="{00000000-0008-0000-0500-000002000000}"/>
            </a:ext>
          </a:extLst>
        </xdr:cNvPr>
        <xdr:cNvSpPr txBox="1">
          <a:spLocks noChangeArrowheads="1"/>
        </xdr:cNvSpPr>
      </xdr:nvSpPr>
      <xdr:spPr bwMode="auto">
        <a:xfrm>
          <a:off x="19050" y="10768965"/>
          <a:ext cx="7429500" cy="3295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900" b="0" i="0" u="none" strike="noStrike" baseline="0">
              <a:solidFill>
                <a:srgbClr val="000000"/>
              </a:solidFill>
              <a:latin typeface="Arial"/>
              <a:cs typeface="Arial"/>
            </a:rPr>
            <a:t>* Classes One and Two show residential unit counts.  Class Four shows gross building area in millions of square feet.  Area figures are not available for Class Three and Class Four Utility property.</a:t>
          </a:r>
        </a:p>
        <a:p>
          <a:pPr algn="l" rtl="0">
            <a:defRPr sz="1000"/>
          </a:pPr>
          <a:r>
            <a:rPr lang="en-US" sz="900" b="0" i="0" u="none" strike="noStrike" baseline="0">
              <a:solidFill>
                <a:srgbClr val="000000"/>
              </a:solidFill>
              <a:latin typeface="Arial"/>
              <a:cs typeface="Arial"/>
            </a:rPr>
            <a:t>    </a:t>
          </a:r>
          <a:endParaRPr lang="en-US" sz="7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59</xdr:row>
      <xdr:rowOff>19051</xdr:rowOff>
    </xdr:from>
    <xdr:to>
      <xdr:col>8</xdr:col>
      <xdr:colOff>600075</xdr:colOff>
      <xdr:row>61</xdr:row>
      <xdr:rowOff>22861</xdr:rowOff>
    </xdr:to>
    <xdr:sp macro="" textlink="">
      <xdr:nvSpPr>
        <xdr:cNvPr id="2" name="Text Box 1">
          <a:extLst>
            <a:ext uri="{FF2B5EF4-FFF2-40B4-BE49-F238E27FC236}">
              <a16:creationId xmlns:a16="http://schemas.microsoft.com/office/drawing/2014/main" id="{00000000-0008-0000-0600-000002000000}"/>
            </a:ext>
          </a:extLst>
        </xdr:cNvPr>
        <xdr:cNvSpPr txBox="1">
          <a:spLocks noChangeArrowheads="1"/>
        </xdr:cNvSpPr>
      </xdr:nvSpPr>
      <xdr:spPr bwMode="auto">
        <a:xfrm>
          <a:off x="0" y="10782301"/>
          <a:ext cx="7477125" cy="3276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900" b="0" i="0" u="none" strike="noStrike" baseline="0">
              <a:solidFill>
                <a:srgbClr val="000000"/>
              </a:solidFill>
              <a:latin typeface="Arial"/>
              <a:cs typeface="Arial"/>
            </a:rPr>
            <a:t>* Classes One and Two show residential unit counts.  Class Four shows gross building area in millions of square feet.  Area figures are not available for Class Three and Class Four Utility property.</a:t>
          </a:r>
          <a:endParaRPr lang="en-US" sz="900" b="0" i="0" u="none" strike="noStrike" baseline="0">
            <a:solidFill>
              <a:srgbClr val="000000"/>
            </a:solidFill>
            <a:latin typeface="Arial"/>
            <a:ea typeface="+mn-ea"/>
            <a:cs typeface="Arial"/>
          </a:endParaRPr>
        </a:p>
        <a:p>
          <a:pPr algn="l" rtl="0">
            <a:defRPr sz="1000"/>
          </a:pPr>
          <a:r>
            <a:rPr lang="en-US" sz="900" b="0" i="0" u="none" strike="noStrike" baseline="0">
              <a:solidFill>
                <a:srgbClr val="000000"/>
              </a:solidFill>
              <a:latin typeface="Arial"/>
              <a:cs typeface="Arial"/>
            </a:rPr>
            <a:t>    </a:t>
          </a:r>
          <a:endParaRPr lang="en-US" sz="7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59</xdr:row>
      <xdr:rowOff>28575</xdr:rowOff>
    </xdr:from>
    <xdr:to>
      <xdr:col>8</xdr:col>
      <xdr:colOff>561975</xdr:colOff>
      <xdr:row>61</xdr:row>
      <xdr:rowOff>38100</xdr:rowOff>
    </xdr:to>
    <xdr:sp macro="" textlink="">
      <xdr:nvSpPr>
        <xdr:cNvPr id="2" name="Text Box 1">
          <a:extLst>
            <a:ext uri="{FF2B5EF4-FFF2-40B4-BE49-F238E27FC236}">
              <a16:creationId xmlns:a16="http://schemas.microsoft.com/office/drawing/2014/main" id="{00000000-0008-0000-0700-000002000000}"/>
            </a:ext>
          </a:extLst>
        </xdr:cNvPr>
        <xdr:cNvSpPr txBox="1">
          <a:spLocks noChangeArrowheads="1"/>
        </xdr:cNvSpPr>
      </xdr:nvSpPr>
      <xdr:spPr bwMode="auto">
        <a:xfrm>
          <a:off x="0" y="10791825"/>
          <a:ext cx="74580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900" b="0" i="0" u="none" strike="noStrike" baseline="0">
              <a:solidFill>
                <a:srgbClr val="000000"/>
              </a:solidFill>
              <a:latin typeface="Arial"/>
              <a:cs typeface="Arial"/>
            </a:rPr>
            <a:t>*  Classes One and Two show residential unit counts.  Class Four shows gross building area in millions of square feet.  Area figures are not available for Class Three and Class Four Utility property.</a:t>
          </a:r>
          <a:endParaRPr lang="en-US" sz="700"/>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0</xdr:col>
      <xdr:colOff>152401</xdr:colOff>
      <xdr:row>48</xdr:row>
      <xdr:rowOff>19050</xdr:rowOff>
    </xdr:from>
    <xdr:ext cx="6686550" cy="1297919"/>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152401" y="8963025"/>
          <a:ext cx="6686550" cy="12979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 Tax dollar value of exemption equals exempt property value times tax rate.  The exempt property value is actual assessed value (or a portion of actual assessed value for partially exempt properties).  Actual assessed value is the product of the assessment ratio applied to market value.  The reported tax dollar value does not include Payments-In-Lieu-of-Taxes (PILOTS), which reduce the net tax dollar value of the exemption for some parcels.  For information on PILOTS, please see NYC Department of Finance, </a:t>
          </a:r>
          <a:r>
            <a:rPr lang="en-US" sz="1100" i="1">
              <a:solidFill>
                <a:schemeClr val="tx1"/>
              </a:solidFill>
              <a:effectLst/>
              <a:latin typeface="+mn-lt"/>
              <a:ea typeface="+mn-ea"/>
              <a:cs typeface="+mn-cs"/>
            </a:rPr>
            <a:t>Annual Report on Tax Expenditures</a:t>
          </a:r>
          <a:r>
            <a:rPr lang="en-US" sz="1100">
              <a:solidFill>
                <a:schemeClr val="tx1"/>
              </a:solidFill>
              <a:effectLst/>
              <a:latin typeface="+mn-lt"/>
              <a:ea typeface="+mn-ea"/>
              <a:cs typeface="+mn-cs"/>
            </a:rPr>
            <a:t> </a:t>
          </a:r>
          <a:r>
            <a:rPr lang="en-US" sz="1100" u="sng">
              <a:solidFill>
                <a:schemeClr val="tx1"/>
              </a:solidFill>
              <a:effectLst/>
              <a:latin typeface="+mn-lt"/>
              <a:ea typeface="+mn-ea"/>
              <a:cs typeface="+mn-cs"/>
              <a:hlinkClick xmlns:r="http://schemas.openxmlformats.org/officeDocument/2006/relationships" r:id=""/>
            </a:rPr>
            <a:t>http://www1.nyc.gov/assets/finance/downloads/pdf/reports/reports-tax-expenditure/ter_2017_final.pdf</a:t>
          </a:r>
          <a:endParaRPr lang="en-US" sz="1100">
            <a:solidFill>
              <a:schemeClr val="tx1"/>
            </a:solidFill>
            <a:effectLst/>
            <a:latin typeface="+mn-lt"/>
            <a:ea typeface="+mn-ea"/>
            <a:cs typeface="+mn-cs"/>
          </a:endParaRPr>
        </a:p>
        <a:p>
          <a:endParaRPr lang="en-US"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48</xdr:row>
      <xdr:rowOff>0</xdr:rowOff>
    </xdr:from>
    <xdr:ext cx="6686550" cy="1297919"/>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0" y="8724900"/>
          <a:ext cx="6686550" cy="12979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 Tax dollar value of exemption equals exempt property value times tax rate.  The exempt property value is actual assessed value (or a portion of actual assessed value for partially exempt properties).  Actual assessed value is the product of the assessment ratio applied to market value.  The reported tax dollar value does not include Payments-In-Lieu-of-Taxes (PILOTS), which reduce the net tax dollar value of the exemption for some parcels.  For information on PILOTS, please see NYC Department of Finance, </a:t>
          </a:r>
          <a:r>
            <a:rPr lang="en-US" sz="1100" i="1">
              <a:solidFill>
                <a:schemeClr val="tx1"/>
              </a:solidFill>
              <a:effectLst/>
              <a:latin typeface="+mn-lt"/>
              <a:ea typeface="+mn-ea"/>
              <a:cs typeface="+mn-cs"/>
            </a:rPr>
            <a:t>Annual Report on Tax Expenditures</a:t>
          </a:r>
          <a:r>
            <a:rPr lang="en-US" sz="1100">
              <a:solidFill>
                <a:schemeClr val="tx1"/>
              </a:solidFill>
              <a:effectLst/>
              <a:latin typeface="+mn-lt"/>
              <a:ea typeface="+mn-ea"/>
              <a:cs typeface="+mn-cs"/>
            </a:rPr>
            <a:t> </a:t>
          </a:r>
          <a:r>
            <a:rPr lang="en-US" sz="1100" u="sng">
              <a:solidFill>
                <a:schemeClr val="tx1"/>
              </a:solidFill>
              <a:effectLst/>
              <a:latin typeface="+mn-lt"/>
              <a:ea typeface="+mn-ea"/>
              <a:cs typeface="+mn-cs"/>
              <a:hlinkClick xmlns:r="http://schemas.openxmlformats.org/officeDocument/2006/relationships" r:id=""/>
            </a:rPr>
            <a:t>http://www1.nyc.gov/assets/finance/downloads/pdf/reports/reports-tax-expenditure/ter_2017_final.pdf</a:t>
          </a:r>
          <a:endParaRPr lang="en-US" sz="1100">
            <a:solidFill>
              <a:schemeClr val="tx1"/>
            </a:solidFill>
            <a:effectLst/>
            <a:latin typeface="+mn-lt"/>
            <a:ea typeface="+mn-ea"/>
            <a:cs typeface="+mn-cs"/>
          </a:endParaRPr>
        </a:p>
        <a:p>
          <a:endParaRPr lang="en-US"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48</xdr:row>
      <xdr:rowOff>0</xdr:rowOff>
    </xdr:from>
    <xdr:ext cx="6686550" cy="1297919"/>
    <xdr:sp macro="" textlink="">
      <xdr:nvSpPr>
        <xdr:cNvPr id="3" name="TextBox 2">
          <a:extLst>
            <a:ext uri="{FF2B5EF4-FFF2-40B4-BE49-F238E27FC236}">
              <a16:creationId xmlns:a16="http://schemas.microsoft.com/office/drawing/2014/main" id="{00000000-0008-0000-0A00-000003000000}"/>
            </a:ext>
          </a:extLst>
        </xdr:cNvPr>
        <xdr:cNvSpPr txBox="1"/>
      </xdr:nvSpPr>
      <xdr:spPr>
        <a:xfrm>
          <a:off x="0" y="8696325"/>
          <a:ext cx="6686550" cy="12979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 Tax dollar value of exemption equals exempt property value times tax rate.  The exempt property value is actual assessed value (or a portion of actual assessed value for partially exempt properties).  Actual assessed value is the product of the assessment ratio applied to market value.  The reported tax dollar value does not include Payments-In-Lieu-of-Taxes (PILOTS), which reduce the net tax dollar value of the exemption for some parcels.  For information on PILOTS, please see NYC Department of Finance, </a:t>
          </a:r>
          <a:r>
            <a:rPr lang="en-US" sz="1100" i="1">
              <a:solidFill>
                <a:schemeClr val="tx1"/>
              </a:solidFill>
              <a:effectLst/>
              <a:latin typeface="+mn-lt"/>
              <a:ea typeface="+mn-ea"/>
              <a:cs typeface="+mn-cs"/>
            </a:rPr>
            <a:t>Annual Report on Tax Expenditures</a:t>
          </a:r>
          <a:r>
            <a:rPr lang="en-US" sz="1100">
              <a:solidFill>
                <a:schemeClr val="tx1"/>
              </a:solidFill>
              <a:effectLst/>
              <a:latin typeface="+mn-lt"/>
              <a:ea typeface="+mn-ea"/>
              <a:cs typeface="+mn-cs"/>
            </a:rPr>
            <a:t> </a:t>
          </a:r>
          <a:r>
            <a:rPr lang="en-US" sz="1100" u="sng">
              <a:solidFill>
                <a:schemeClr val="tx1"/>
              </a:solidFill>
              <a:effectLst/>
              <a:latin typeface="+mn-lt"/>
              <a:ea typeface="+mn-ea"/>
              <a:cs typeface="+mn-cs"/>
              <a:hlinkClick xmlns:r="http://schemas.openxmlformats.org/officeDocument/2006/relationships" r:id=""/>
            </a:rPr>
            <a:t>http://www1.nyc.gov/assets/finance/downloads/pdf/reports/reports-tax-expenditure/ter_2017_final.pdf</a:t>
          </a:r>
          <a:endParaRPr lang="en-US" sz="1100">
            <a:solidFill>
              <a:schemeClr val="tx1"/>
            </a:solidFill>
            <a:effectLst/>
            <a:latin typeface="+mn-lt"/>
            <a:ea typeface="+mn-ea"/>
            <a:cs typeface="+mn-cs"/>
          </a:endParaRPr>
        </a:p>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arichj\Desktop\3.%20%20RPT%20Tax%20$%20Value%20Exemptions%20by%20Ex%20Type%20FY17_DUMM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PROPERTY\ASSESSMENT%20DATA\FY15F\Taxable%20Mama_F1314_T11415_FIN052114%20-%20proj778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PROPERTY\ASSESSMENT%20DATA\FY16F\Formatted%201516_Taxable%20Mama_F1415_T1516_FIN051915%20-%20proj808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PROPERTY\ASSESSMENT%20DATA\FY17F\P8383%20-%20Briefing_Press%20Release%20for%20Fin1617%20as%20of%2005261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PROPERTY\ASSESSMENT%20DATA\FY17F\1617_Taxable%20Profiles_F1516_T1617_FIN052616%20-%20proj835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PROPERTY\ASSESSMENT%20DATA\FY16F\1516_Taxable%20Mama_F1415_T1516_FIN051915%20-%20proj808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PROPERTY\Tax%20Fixing\Copy%20of%20Class%20Share%20Shifting%20FY15%20ks%20JS%200703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sum"/>
      <sheetName val="Citywide"/>
      <sheetName val="Manhattan"/>
      <sheetName val="Bronx"/>
      <sheetName val="Brooklyn"/>
      <sheetName val="Queens"/>
      <sheetName val="S.I."/>
    </sheetNames>
    <sheetDataSet>
      <sheetData sheetId="0" refreshError="1"/>
      <sheetData sheetId="1">
        <row r="58">
          <cell r="G58">
            <v>5999924563</v>
          </cell>
        </row>
        <row r="59">
          <cell r="G59">
            <v>4713091925</v>
          </cell>
        </row>
        <row r="60">
          <cell r="G60">
            <v>370999714</v>
          </cell>
        </row>
        <row r="61">
          <cell r="G61">
            <v>2555277426</v>
          </cell>
        </row>
        <row r="62">
          <cell r="G62">
            <v>2547573964</v>
          </cell>
        </row>
        <row r="63">
          <cell r="G63">
            <v>705525616</v>
          </cell>
        </row>
      </sheetData>
      <sheetData sheetId="2">
        <row r="57">
          <cell r="G57">
            <v>2196139215</v>
          </cell>
          <cell r="H57" t="str">
            <v>Government</v>
          </cell>
        </row>
        <row r="58">
          <cell r="G58">
            <v>2009976894</v>
          </cell>
          <cell r="H58" t="str">
            <v>Public Authorities</v>
          </cell>
        </row>
        <row r="59">
          <cell r="G59">
            <v>39877553</v>
          </cell>
          <cell r="H59" t="str">
            <v>Individual Assistance</v>
          </cell>
        </row>
        <row r="60">
          <cell r="G60">
            <v>1417696479</v>
          </cell>
          <cell r="H60" t="str">
            <v>Institutional</v>
          </cell>
        </row>
        <row r="61">
          <cell r="G61">
            <v>1231476902</v>
          </cell>
          <cell r="H61" t="str">
            <v>Residential</v>
          </cell>
        </row>
        <row r="62">
          <cell r="G62">
            <v>202285583</v>
          </cell>
          <cell r="H62" t="str">
            <v>Commercial/Industrial</v>
          </cell>
        </row>
      </sheetData>
      <sheetData sheetId="3">
        <row r="57">
          <cell r="G57">
            <v>736032618</v>
          </cell>
          <cell r="H57" t="str">
            <v>Government</v>
          </cell>
        </row>
        <row r="58">
          <cell r="G58">
            <v>354030959</v>
          </cell>
          <cell r="H58" t="str">
            <v>Public Authorities</v>
          </cell>
        </row>
        <row r="59">
          <cell r="G59">
            <v>28702542</v>
          </cell>
          <cell r="H59" t="str">
            <v>Individual Assistance</v>
          </cell>
        </row>
        <row r="60">
          <cell r="G60">
            <v>246990401</v>
          </cell>
          <cell r="H60" t="str">
            <v>Institutional</v>
          </cell>
        </row>
        <row r="61">
          <cell r="G61">
            <v>349232325</v>
          </cell>
          <cell r="H61" t="str">
            <v>Residential</v>
          </cell>
        </row>
        <row r="62">
          <cell r="G62">
            <v>78426196</v>
          </cell>
          <cell r="H62" t="str">
            <v>Commercial/Industrial</v>
          </cell>
        </row>
      </sheetData>
      <sheetData sheetId="4">
        <row r="59">
          <cell r="G59">
            <v>1438470511</v>
          </cell>
        </row>
        <row r="60">
          <cell r="G60">
            <v>508194933</v>
          </cell>
        </row>
        <row r="61">
          <cell r="G61">
            <v>97126231</v>
          </cell>
        </row>
        <row r="62">
          <cell r="G62">
            <v>421390710</v>
          </cell>
        </row>
        <row r="63">
          <cell r="G63">
            <v>643516806</v>
          </cell>
        </row>
        <row r="64">
          <cell r="G64">
            <v>138323737</v>
          </cell>
        </row>
      </sheetData>
      <sheetData sheetId="5">
        <row r="58">
          <cell r="G58">
            <v>1238201192</v>
          </cell>
        </row>
        <row r="59">
          <cell r="G59">
            <v>1749093987</v>
          </cell>
        </row>
        <row r="60">
          <cell r="G60">
            <v>154719701</v>
          </cell>
        </row>
        <row r="61">
          <cell r="G61">
            <v>364182759</v>
          </cell>
        </row>
        <row r="62">
          <cell r="G62">
            <v>306527884</v>
          </cell>
        </row>
        <row r="63">
          <cell r="G63">
            <v>260014796</v>
          </cell>
        </row>
      </sheetData>
      <sheetData sheetId="6">
        <row r="58">
          <cell r="G58">
            <v>391081029</v>
          </cell>
        </row>
        <row r="59">
          <cell r="G59">
            <v>91795152</v>
          </cell>
        </row>
        <row r="60">
          <cell r="G60">
            <v>50073689</v>
          </cell>
        </row>
        <row r="61">
          <cell r="G61">
            <v>105017076</v>
          </cell>
        </row>
        <row r="62">
          <cell r="G62">
            <v>16820048</v>
          </cell>
        </row>
        <row r="63">
          <cell r="G63">
            <v>26475035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TYWIDE"/>
      <sheetName val="Manhattan"/>
      <sheetName val="Bronx"/>
      <sheetName val="Brooklyn"/>
      <sheetName val="Queens"/>
      <sheetName val="Staten Island"/>
    </sheetNames>
    <sheetDataSet>
      <sheetData sheetId="0">
        <row r="15">
          <cell r="AB15">
            <v>415225843814</v>
          </cell>
          <cell r="AH15">
            <v>16915356103</v>
          </cell>
          <cell r="AN15">
            <v>16915356103</v>
          </cell>
        </row>
        <row r="25">
          <cell r="AB25">
            <v>215863863357</v>
          </cell>
          <cell r="AH25">
            <v>70514485787</v>
          </cell>
          <cell r="AN25">
            <v>63037319761</v>
          </cell>
        </row>
        <row r="29">
          <cell r="AB29">
            <v>28438657031</v>
          </cell>
          <cell r="AH29">
            <v>12355130146</v>
          </cell>
          <cell r="AN29">
            <v>12355130146</v>
          </cell>
        </row>
        <row r="59">
          <cell r="AB59">
            <v>246745465532</v>
          </cell>
          <cell r="AH59">
            <v>103077431424</v>
          </cell>
          <cell r="AN59">
            <v>90206903443</v>
          </cell>
        </row>
      </sheetData>
      <sheetData sheetId="1">
        <row r="60">
          <cell r="AB60">
            <v>362524266478</v>
          </cell>
          <cell r="AN60">
            <v>118509354217</v>
          </cell>
        </row>
      </sheetData>
      <sheetData sheetId="2">
        <row r="60">
          <cell r="AB60">
            <v>54965119400</v>
          </cell>
          <cell r="AN60">
            <v>9737928327</v>
          </cell>
        </row>
      </sheetData>
      <sheetData sheetId="3">
        <row r="60">
          <cell r="AB60">
            <v>213798663154</v>
          </cell>
          <cell r="AN60">
            <v>22774171512</v>
          </cell>
        </row>
      </sheetData>
      <sheetData sheetId="4">
        <row r="60">
          <cell r="AB60">
            <v>216055660040</v>
          </cell>
          <cell r="AN60">
            <v>26184096929</v>
          </cell>
        </row>
      </sheetData>
      <sheetData sheetId="5">
        <row r="60">
          <cell r="AB60">
            <v>58930120662</v>
          </cell>
          <cell r="AN60">
            <v>5309158468</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TYWIDE"/>
      <sheetName val="Manhattan"/>
      <sheetName val="Bronx"/>
      <sheetName val="Brooklyn"/>
      <sheetName val="Queens"/>
      <sheetName val="Staten Island"/>
    </sheetNames>
    <sheetDataSet>
      <sheetData sheetId="0">
        <row r="15">
          <cell r="AB15">
            <v>442358456521</v>
          </cell>
        </row>
        <row r="25">
          <cell r="AB25">
            <v>234465618449</v>
          </cell>
        </row>
        <row r="29">
          <cell r="AB29">
            <v>30721051186</v>
          </cell>
        </row>
        <row r="61">
          <cell r="AB61">
            <v>261885267041</v>
          </cell>
        </row>
      </sheetData>
      <sheetData sheetId="1">
        <row r="62">
          <cell r="AB62">
            <v>389709951020</v>
          </cell>
        </row>
      </sheetData>
      <sheetData sheetId="2">
        <row r="62">
          <cell r="AB62">
            <v>58474391550</v>
          </cell>
        </row>
      </sheetData>
      <sheetData sheetId="3">
        <row r="62">
          <cell r="AB62">
            <v>228447470902</v>
          </cell>
        </row>
      </sheetData>
      <sheetData sheetId="4">
        <row r="62">
          <cell r="AB62">
            <v>232108776009</v>
          </cell>
        </row>
      </sheetData>
      <sheetData sheetId="5">
        <row r="62">
          <cell r="AB62">
            <v>60689803716</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TYWIDE"/>
      <sheetName val="MANHATTAN"/>
      <sheetName val="BRONX"/>
      <sheetName val="BROOKLYN"/>
      <sheetName val="QUEENS"/>
      <sheetName val="STATEN ISLAND"/>
    </sheetNames>
    <sheetDataSet>
      <sheetData sheetId="0">
        <row r="16">
          <cell r="I16">
            <v>496340218564</v>
          </cell>
        </row>
        <row r="26">
          <cell r="I26">
            <v>256799853060</v>
          </cell>
        </row>
        <row r="30">
          <cell r="I30">
            <v>32328263921</v>
          </cell>
        </row>
        <row r="60">
          <cell r="I60">
            <v>278776148928</v>
          </cell>
        </row>
      </sheetData>
      <sheetData sheetId="1">
        <row r="61">
          <cell r="I61">
            <v>420552214558</v>
          </cell>
        </row>
      </sheetData>
      <sheetData sheetId="2">
        <row r="61">
          <cell r="I61">
            <v>61656127841</v>
          </cell>
        </row>
      </sheetData>
      <sheetData sheetId="3">
        <row r="61">
          <cell r="I61">
            <v>264149779011</v>
          </cell>
        </row>
      </sheetData>
      <sheetData sheetId="4">
        <row r="61">
          <cell r="I61">
            <v>254172895796</v>
          </cell>
        </row>
      </sheetData>
      <sheetData sheetId="5">
        <row r="61">
          <cell r="I61">
            <v>63713467267</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TYWIDE"/>
      <sheetName val="Manhattan"/>
      <sheetName val="Bronx"/>
      <sheetName val="Brooklyn"/>
      <sheetName val="Queens"/>
      <sheetName val="Staten Island"/>
    </sheetNames>
    <sheetDataSet>
      <sheetData sheetId="0">
        <row r="15">
          <cell r="AH15">
            <v>18393885868</v>
          </cell>
          <cell r="AN15">
            <v>18393885868</v>
          </cell>
        </row>
        <row r="25">
          <cell r="AH25">
            <v>85118460532</v>
          </cell>
          <cell r="AN25">
            <v>73978854432</v>
          </cell>
        </row>
        <row r="29">
          <cell r="AH29">
            <v>14203259742</v>
          </cell>
          <cell r="AN29">
            <v>14203259742</v>
          </cell>
        </row>
        <row r="61">
          <cell r="AH61">
            <v>116826097234</v>
          </cell>
          <cell r="AN61">
            <v>102035092967</v>
          </cell>
        </row>
      </sheetData>
      <sheetData sheetId="1">
        <row r="62">
          <cell r="AN62">
            <v>136617980057</v>
          </cell>
        </row>
      </sheetData>
      <sheetData sheetId="2">
        <row r="62">
          <cell r="AN62">
            <v>10893156810</v>
          </cell>
        </row>
      </sheetData>
      <sheetData sheetId="3">
        <row r="62">
          <cell r="AN62">
            <v>26098242283</v>
          </cell>
        </row>
      </sheetData>
      <sheetData sheetId="4">
        <row r="62">
          <cell r="AN62">
            <v>29332448644</v>
          </cell>
        </row>
      </sheetData>
      <sheetData sheetId="5">
        <row r="62">
          <cell r="AN62">
            <v>5669265215</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TYWIDE"/>
      <sheetName val="Manhattan"/>
      <sheetName val="Bronx"/>
      <sheetName val="Brooklyn"/>
      <sheetName val="Queens"/>
      <sheetName val="Staten Island"/>
    </sheetNames>
    <sheetDataSet>
      <sheetData sheetId="0"/>
      <sheetData sheetId="1">
        <row r="62">
          <cell r="AN62">
            <v>127314349198</v>
          </cell>
        </row>
      </sheetData>
      <sheetData sheetId="2">
        <row r="62">
          <cell r="AN62">
            <v>10474799698</v>
          </cell>
        </row>
      </sheetData>
      <sheetData sheetId="3">
        <row r="62">
          <cell r="AN62">
            <v>24258542038</v>
          </cell>
        </row>
      </sheetData>
      <sheetData sheetId="4">
        <row r="62">
          <cell r="AN62">
            <v>27664912696</v>
          </cell>
        </row>
      </sheetData>
      <sheetData sheetId="5">
        <row r="62">
          <cell r="AN62">
            <v>5472792896</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rrent"/>
      <sheetName val="cap 5-dist proportionally"/>
      <sheetName val="No Cap"/>
      <sheetName val="Comparison"/>
      <sheetName val="summary"/>
      <sheetName val="Class 1"/>
      <sheetName val="Class 2"/>
      <sheetName val="Class 3"/>
      <sheetName val="Class 4"/>
      <sheetName val="SummaryChart"/>
      <sheetName val="2008"/>
      <sheetName val="feed graph 5 per"/>
      <sheetName val="Formatted1"/>
      <sheetName val="AvgImpact"/>
      <sheetName val="2008 example"/>
      <sheetName val="Formatted2"/>
      <sheetName val="Formatted3"/>
      <sheetName val="Sheet2"/>
    </sheetNames>
    <sheetDataSet>
      <sheetData sheetId="0">
        <row r="51">
          <cell r="L51">
            <v>1</v>
          </cell>
        </row>
        <row r="59">
          <cell r="L59">
            <v>1</v>
          </cell>
        </row>
        <row r="67">
          <cell r="L67">
            <v>1</v>
          </cell>
        </row>
        <row r="75">
          <cell r="L75">
            <v>1.02</v>
          </cell>
        </row>
        <row r="83">
          <cell r="L83">
            <v>1.02</v>
          </cell>
        </row>
        <row r="91">
          <cell r="L91">
            <v>1.02</v>
          </cell>
        </row>
        <row r="99">
          <cell r="L99">
            <v>1.02</v>
          </cell>
        </row>
        <row r="107">
          <cell r="L107">
            <v>1.02</v>
          </cell>
        </row>
        <row r="115">
          <cell r="L115">
            <v>1.02</v>
          </cell>
        </row>
        <row r="123">
          <cell r="L123">
            <v>1.02</v>
          </cell>
        </row>
        <row r="131">
          <cell r="L131">
            <v>1.0249999999999999</v>
          </cell>
        </row>
        <row r="139">
          <cell r="L139">
            <v>1.0249999999999999</v>
          </cell>
        </row>
        <row r="147">
          <cell r="L147">
            <v>1.0249999999999999</v>
          </cell>
        </row>
        <row r="155">
          <cell r="L155">
            <v>1.0249999999999999</v>
          </cell>
        </row>
        <row r="163">
          <cell r="L163">
            <v>1.0275000000000001</v>
          </cell>
        </row>
        <row r="171">
          <cell r="L171">
            <v>1.0275000000000001</v>
          </cell>
        </row>
        <row r="179">
          <cell r="L179">
            <v>1.05</v>
          </cell>
        </row>
        <row r="187">
          <cell r="L187">
            <v>1.02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28"/>
  <sheetViews>
    <sheetView tabSelected="1" workbookViewId="0">
      <selection activeCell="A2" sqref="A2"/>
    </sheetView>
  </sheetViews>
  <sheetFormatPr defaultRowHeight="15"/>
  <cols>
    <col min="2" max="2" width="93.5703125" bestFit="1" customWidth="1"/>
  </cols>
  <sheetData>
    <row r="1" spans="2:2">
      <c r="B1" s="1" t="s">
        <v>21</v>
      </c>
    </row>
    <row r="2" spans="2:2">
      <c r="B2" s="1" t="s">
        <v>22</v>
      </c>
    </row>
    <row r="3" spans="2:2">
      <c r="B3" s="1" t="s">
        <v>23</v>
      </c>
    </row>
    <row r="5" spans="2:2">
      <c r="B5" t="s">
        <v>20</v>
      </c>
    </row>
    <row r="6" spans="2:2">
      <c r="B6" t="s">
        <v>64</v>
      </c>
    </row>
    <row r="7" spans="2:2">
      <c r="B7" t="s">
        <v>65</v>
      </c>
    </row>
    <row r="8" spans="2:2">
      <c r="B8" t="s">
        <v>66</v>
      </c>
    </row>
    <row r="9" spans="2:2">
      <c r="B9" t="s">
        <v>0</v>
      </c>
    </row>
    <row r="10" spans="2:2">
      <c r="B10" t="s">
        <v>1</v>
      </c>
    </row>
    <row r="11" spans="2:2">
      <c r="B11" t="s">
        <v>2</v>
      </c>
    </row>
    <row r="12" spans="2:2">
      <c r="B12" t="s">
        <v>3</v>
      </c>
    </row>
    <row r="13" spans="2:2">
      <c r="B13" t="s">
        <v>4</v>
      </c>
    </row>
    <row r="14" spans="2:2">
      <c r="B14" t="s">
        <v>5</v>
      </c>
    </row>
    <row r="15" spans="2:2">
      <c r="B15" t="s">
        <v>6</v>
      </c>
    </row>
    <row r="16" spans="2:2">
      <c r="B16" t="s">
        <v>7</v>
      </c>
    </row>
    <row r="17" spans="2:2">
      <c r="B17" t="s">
        <v>8</v>
      </c>
    </row>
    <row r="18" spans="2:2">
      <c r="B18" t="s">
        <v>9</v>
      </c>
    </row>
    <row r="19" spans="2:2">
      <c r="B19" t="s">
        <v>10</v>
      </c>
    </row>
    <row r="20" spans="2:2">
      <c r="B20" t="s">
        <v>11</v>
      </c>
    </row>
    <row r="21" spans="2:2">
      <c r="B21" t="s">
        <v>12</v>
      </c>
    </row>
    <row r="22" spans="2:2">
      <c r="B22" t="s">
        <v>13</v>
      </c>
    </row>
    <row r="23" spans="2:2">
      <c r="B23" t="s">
        <v>14</v>
      </c>
    </row>
    <row r="24" spans="2:2">
      <c r="B24" t="s">
        <v>15</v>
      </c>
    </row>
    <row r="25" spans="2:2">
      <c r="B25" t="s">
        <v>16</v>
      </c>
    </row>
    <row r="26" spans="2:2">
      <c r="B26" t="s">
        <v>17</v>
      </c>
    </row>
    <row r="27" spans="2:2">
      <c r="B27" t="s">
        <v>18</v>
      </c>
    </row>
    <row r="28" spans="2:2">
      <c r="B28" t="s">
        <v>19</v>
      </c>
    </row>
  </sheetData>
  <pageMargins left="0.7" right="0.7" top="0.75" bottom="0.75" header="0.3" footer="0.3"/>
  <pageSetup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52"/>
  <sheetViews>
    <sheetView showGridLines="0" workbookViewId="0">
      <selection activeCell="E13" sqref="E13"/>
    </sheetView>
  </sheetViews>
  <sheetFormatPr defaultColWidth="10" defaultRowHeight="12.75"/>
  <cols>
    <col min="1" max="1" width="21.5703125" style="208" bestFit="1" customWidth="1"/>
    <col min="2" max="2" width="10.85546875" style="208" customWidth="1"/>
    <col min="3" max="3" width="14.28515625" style="208" bestFit="1" customWidth="1"/>
    <col min="4" max="4" width="9.85546875" style="208" bestFit="1" customWidth="1"/>
    <col min="5" max="5" width="14.28515625" style="208" customWidth="1"/>
    <col min="6" max="6" width="9.85546875" style="208" bestFit="1" customWidth="1"/>
    <col min="7" max="7" width="14.28515625" style="208" bestFit="1" customWidth="1"/>
    <col min="8" max="16384" width="10" style="208"/>
  </cols>
  <sheetData>
    <row r="1" spans="1:7" ht="15" customHeight="1">
      <c r="A1" s="1008" t="s">
        <v>125</v>
      </c>
      <c r="B1" s="1009"/>
      <c r="C1" s="1009"/>
      <c r="D1" s="1009"/>
      <c r="E1" s="1009"/>
      <c r="F1" s="1009"/>
      <c r="G1" s="1009"/>
    </row>
    <row r="2" spans="1:7" ht="15" customHeight="1">
      <c r="A2" s="1008" t="s">
        <v>126</v>
      </c>
      <c r="B2" s="1009"/>
      <c r="C2" s="1009"/>
      <c r="D2" s="1009"/>
      <c r="E2" s="1009"/>
      <c r="F2" s="1009"/>
      <c r="G2" s="1009"/>
    </row>
    <row r="3" spans="1:7" ht="15" customHeight="1">
      <c r="A3" s="1008" t="s">
        <v>127</v>
      </c>
      <c r="B3" s="1009"/>
      <c r="C3" s="1009"/>
      <c r="D3" s="1009"/>
      <c r="E3" s="1009"/>
      <c r="F3" s="1009"/>
      <c r="G3" s="1009"/>
    </row>
    <row r="4" spans="1:7" ht="15">
      <c r="A4" s="1008" t="s">
        <v>69</v>
      </c>
      <c r="B4" s="1009"/>
      <c r="C4" s="1009"/>
      <c r="D4" s="1009"/>
      <c r="E4" s="1009"/>
      <c r="F4" s="1009"/>
      <c r="G4" s="1009"/>
    </row>
    <row r="5" spans="1:7" ht="6.95" customHeight="1">
      <c r="A5" s="178"/>
      <c r="B5" s="178"/>
      <c r="C5" s="178"/>
      <c r="D5" s="178"/>
      <c r="E5" s="178"/>
      <c r="F5" s="178"/>
      <c r="G5" s="178"/>
    </row>
    <row r="6" spans="1:7" ht="15">
      <c r="A6" s="1008" t="s">
        <v>119</v>
      </c>
      <c r="B6" s="1009"/>
      <c r="C6" s="1009"/>
      <c r="D6" s="1009"/>
      <c r="E6" s="1009"/>
      <c r="F6" s="1009"/>
      <c r="G6" s="1009"/>
    </row>
    <row r="7" spans="1:7" ht="6.95" customHeight="1">
      <c r="A7" s="179"/>
      <c r="B7" s="178"/>
      <c r="C7" s="178"/>
      <c r="D7" s="178"/>
      <c r="E7" s="178"/>
      <c r="F7" s="178"/>
      <c r="G7" s="178"/>
    </row>
    <row r="8" spans="1:7" ht="13.9" customHeight="1">
      <c r="A8" s="180"/>
      <c r="B8" s="1004" t="s">
        <v>36</v>
      </c>
      <c r="C8" s="1005"/>
      <c r="D8" s="1004" t="s">
        <v>128</v>
      </c>
      <c r="E8" s="1005"/>
      <c r="F8" s="1006" t="s">
        <v>129</v>
      </c>
      <c r="G8" s="1007"/>
    </row>
    <row r="9" spans="1:7" ht="15.75" customHeight="1">
      <c r="A9" s="181" t="s">
        <v>72</v>
      </c>
      <c r="B9" s="182" t="s">
        <v>130</v>
      </c>
      <c r="C9" s="183" t="s">
        <v>79</v>
      </c>
      <c r="D9" s="182" t="s">
        <v>130</v>
      </c>
      <c r="E9" s="183" t="s">
        <v>79</v>
      </c>
      <c r="F9" s="184" t="s">
        <v>130</v>
      </c>
      <c r="G9" s="185" t="s">
        <v>79</v>
      </c>
    </row>
    <row r="10" spans="1:7" ht="19.899999999999999" customHeight="1">
      <c r="A10" s="186" t="s">
        <v>120</v>
      </c>
      <c r="B10" s="187">
        <v>11861</v>
      </c>
      <c r="C10" s="188">
        <v>5885260267.1299992</v>
      </c>
      <c r="D10" s="187">
        <v>43369</v>
      </c>
      <c r="E10" s="188">
        <v>1212523706.9999998</v>
      </c>
      <c r="F10" s="187">
        <v>55230</v>
      </c>
      <c r="G10" s="189">
        <v>7097783974.1299992</v>
      </c>
    </row>
    <row r="11" spans="1:7" ht="15">
      <c r="A11" s="190"/>
      <c r="B11" s="191"/>
      <c r="C11" s="192"/>
      <c r="D11" s="191"/>
      <c r="E11" s="192"/>
      <c r="F11" s="191"/>
      <c r="G11" s="193"/>
    </row>
    <row r="12" spans="1:7" ht="15">
      <c r="A12" s="190" t="s">
        <v>59</v>
      </c>
      <c r="B12" s="194">
        <v>90</v>
      </c>
      <c r="C12" s="195">
        <v>8298388.2400000002</v>
      </c>
      <c r="D12" s="194">
        <v>2043</v>
      </c>
      <c r="E12" s="195">
        <v>3228281.02</v>
      </c>
      <c r="F12" s="194">
        <v>2133</v>
      </c>
      <c r="G12" s="196">
        <v>11526669.26</v>
      </c>
    </row>
    <row r="13" spans="1:7" ht="14.25">
      <c r="A13" s="197" t="s">
        <v>82</v>
      </c>
      <c r="B13" s="191">
        <v>56</v>
      </c>
      <c r="C13" s="198">
        <v>7181672.9900000002</v>
      </c>
      <c r="D13" s="191">
        <v>385</v>
      </c>
      <c r="E13" s="198">
        <v>476099.32</v>
      </c>
      <c r="F13" s="191">
        <v>441</v>
      </c>
      <c r="G13" s="198">
        <v>7657772.3100000005</v>
      </c>
    </row>
    <row r="14" spans="1:7" ht="14.25">
      <c r="A14" s="197" t="s">
        <v>83</v>
      </c>
      <c r="B14" s="191">
        <v>15</v>
      </c>
      <c r="C14" s="198">
        <v>557409.65</v>
      </c>
      <c r="D14" s="191">
        <v>678</v>
      </c>
      <c r="E14" s="198">
        <v>874833.53</v>
      </c>
      <c r="F14" s="191">
        <v>693</v>
      </c>
      <c r="G14" s="198">
        <v>1432243.1800000002</v>
      </c>
    </row>
    <row r="15" spans="1:7" ht="14.25">
      <c r="A15" s="197" t="s">
        <v>84</v>
      </c>
      <c r="B15" s="191">
        <v>10</v>
      </c>
      <c r="C15" s="198">
        <v>203107.56</v>
      </c>
      <c r="D15" s="191">
        <v>765</v>
      </c>
      <c r="E15" s="198">
        <v>1710869.71</v>
      </c>
      <c r="F15" s="191">
        <v>775</v>
      </c>
      <c r="G15" s="198">
        <v>1913977.27</v>
      </c>
    </row>
    <row r="16" spans="1:7" ht="14.25">
      <c r="A16" s="197" t="s">
        <v>85</v>
      </c>
      <c r="B16" s="108">
        <v>0</v>
      </c>
      <c r="C16" s="199">
        <v>0</v>
      </c>
      <c r="D16" s="191">
        <v>109</v>
      </c>
      <c r="E16" s="198">
        <v>91495.55</v>
      </c>
      <c r="F16" s="191">
        <v>109</v>
      </c>
      <c r="G16" s="198">
        <v>91495.55</v>
      </c>
    </row>
    <row r="17" spans="1:7" ht="14.25">
      <c r="A17" s="197" t="s">
        <v>86</v>
      </c>
      <c r="B17" s="108">
        <v>0</v>
      </c>
      <c r="C17" s="199">
        <v>0</v>
      </c>
      <c r="D17" s="108">
        <v>0</v>
      </c>
      <c r="E17" s="199">
        <v>0</v>
      </c>
      <c r="F17" s="108">
        <v>0</v>
      </c>
      <c r="G17" s="199">
        <v>0</v>
      </c>
    </row>
    <row r="18" spans="1:7" ht="14.25">
      <c r="A18" s="197" t="s">
        <v>87</v>
      </c>
      <c r="B18" s="191">
        <v>9</v>
      </c>
      <c r="C18" s="198">
        <v>356198.04</v>
      </c>
      <c r="D18" s="191">
        <v>106</v>
      </c>
      <c r="E18" s="198">
        <v>74982.91</v>
      </c>
      <c r="F18" s="191">
        <v>115</v>
      </c>
      <c r="G18" s="198">
        <v>431180.94999999995</v>
      </c>
    </row>
    <row r="19" spans="1:7" ht="15">
      <c r="A19" s="190"/>
      <c r="B19" s="200"/>
      <c r="C19" s="201"/>
      <c r="D19" s="200"/>
      <c r="E19" s="201"/>
      <c r="F19" s="191"/>
      <c r="G19" s="193"/>
    </row>
    <row r="20" spans="1:7" ht="15">
      <c r="A20" s="190" t="s">
        <v>60</v>
      </c>
      <c r="B20" s="194">
        <v>6698</v>
      </c>
      <c r="C20" s="195">
        <v>1066952465.9100002</v>
      </c>
      <c r="D20" s="194">
        <v>38985</v>
      </c>
      <c r="E20" s="195">
        <v>870022458.88999987</v>
      </c>
      <c r="F20" s="194">
        <v>45683</v>
      </c>
      <c r="G20" s="196">
        <v>1936974924.8000002</v>
      </c>
    </row>
    <row r="21" spans="1:7" ht="14.25">
      <c r="A21" s="197" t="s">
        <v>88</v>
      </c>
      <c r="B21" s="191">
        <v>962</v>
      </c>
      <c r="C21" s="198">
        <v>663447523.99000001</v>
      </c>
      <c r="D21" s="191">
        <v>1227</v>
      </c>
      <c r="E21" s="198">
        <v>410404707.64999998</v>
      </c>
      <c r="F21" s="191">
        <v>2189</v>
      </c>
      <c r="G21" s="198">
        <v>1073852231.6399999</v>
      </c>
    </row>
    <row r="22" spans="1:7" ht="14.25">
      <c r="A22" s="197" t="s">
        <v>89</v>
      </c>
      <c r="B22" s="191">
        <v>92</v>
      </c>
      <c r="C22" s="198">
        <v>217007342.44</v>
      </c>
      <c r="D22" s="191">
        <v>2408</v>
      </c>
      <c r="E22" s="198">
        <v>56672620.259999998</v>
      </c>
      <c r="F22" s="191">
        <v>2500</v>
      </c>
      <c r="G22" s="198">
        <v>273679962.69999999</v>
      </c>
    </row>
    <row r="23" spans="1:7" ht="14.25">
      <c r="A23" s="197" t="s">
        <v>85</v>
      </c>
      <c r="B23" s="191">
        <v>5232</v>
      </c>
      <c r="C23" s="198">
        <v>103267325.26000001</v>
      </c>
      <c r="D23" s="191">
        <v>32387</v>
      </c>
      <c r="E23" s="198">
        <v>194532559.11000001</v>
      </c>
      <c r="F23" s="191">
        <v>37619</v>
      </c>
      <c r="G23" s="198">
        <v>297799884.37</v>
      </c>
    </row>
    <row r="24" spans="1:7" ht="14.25">
      <c r="A24" s="197" t="s">
        <v>90</v>
      </c>
      <c r="B24" s="191">
        <v>34</v>
      </c>
      <c r="C24" s="198">
        <v>61280332.200000003</v>
      </c>
      <c r="D24" s="191">
        <v>96</v>
      </c>
      <c r="E24" s="198">
        <v>159922893.66999999</v>
      </c>
      <c r="F24" s="191">
        <v>130</v>
      </c>
      <c r="G24" s="198">
        <v>221203225.87</v>
      </c>
    </row>
    <row r="25" spans="1:7" ht="14.25">
      <c r="A25" s="197" t="s">
        <v>91</v>
      </c>
      <c r="B25" s="191">
        <v>4</v>
      </c>
      <c r="C25" s="198">
        <v>8332550.8200000003</v>
      </c>
      <c r="D25" s="191">
        <v>175</v>
      </c>
      <c r="E25" s="198">
        <v>22677446.550000001</v>
      </c>
      <c r="F25" s="191">
        <v>179</v>
      </c>
      <c r="G25" s="198">
        <v>31009997.370000001</v>
      </c>
    </row>
    <row r="26" spans="1:7" ht="14.25">
      <c r="A26" s="197" t="s">
        <v>131</v>
      </c>
      <c r="B26" s="191">
        <v>309</v>
      </c>
      <c r="C26" s="198">
        <v>12039746.24</v>
      </c>
      <c r="D26" s="191">
        <v>839</v>
      </c>
      <c r="E26" s="198">
        <v>15002675.130000001</v>
      </c>
      <c r="F26" s="191">
        <v>1148</v>
      </c>
      <c r="G26" s="198">
        <v>27042421.370000001</v>
      </c>
    </row>
    <row r="27" spans="1:7" ht="14.25">
      <c r="A27" s="197" t="s">
        <v>132</v>
      </c>
      <c r="B27" s="191">
        <v>15</v>
      </c>
      <c r="C27" s="198">
        <v>642514.85</v>
      </c>
      <c r="D27" s="191">
        <v>717</v>
      </c>
      <c r="E27" s="198">
        <v>2770141.36</v>
      </c>
      <c r="F27" s="191">
        <v>732</v>
      </c>
      <c r="G27" s="198">
        <v>3412656.21</v>
      </c>
    </row>
    <row r="28" spans="1:7" ht="14.25" customHeight="1">
      <c r="A28" s="197" t="s">
        <v>133</v>
      </c>
      <c r="B28" s="191">
        <v>49</v>
      </c>
      <c r="C28" s="198">
        <v>870911.58</v>
      </c>
      <c r="D28" s="191">
        <v>1112</v>
      </c>
      <c r="E28" s="198">
        <v>8024956.7800000003</v>
      </c>
      <c r="F28" s="191">
        <v>1161</v>
      </c>
      <c r="G28" s="198">
        <v>8895868.3599999994</v>
      </c>
    </row>
    <row r="29" spans="1:7" ht="15.75" customHeight="1">
      <c r="A29" s="197" t="s">
        <v>134</v>
      </c>
      <c r="B29" s="191">
        <v>1</v>
      </c>
      <c r="C29" s="198">
        <v>64218.53</v>
      </c>
      <c r="D29" s="191">
        <v>24</v>
      </c>
      <c r="E29" s="198">
        <v>14458.38</v>
      </c>
      <c r="F29" s="191">
        <v>25</v>
      </c>
      <c r="G29" s="198">
        <v>78676.91</v>
      </c>
    </row>
    <row r="30" spans="1:7" ht="15">
      <c r="A30" s="190"/>
      <c r="B30" s="200"/>
      <c r="C30" s="201"/>
      <c r="D30" s="200"/>
      <c r="E30" s="201"/>
      <c r="F30" s="191"/>
      <c r="G30" s="193"/>
    </row>
    <row r="31" spans="1:7" ht="15">
      <c r="A31" s="190" t="s">
        <v>61</v>
      </c>
      <c r="B31" s="194">
        <v>2</v>
      </c>
      <c r="C31" s="195">
        <v>18746.34</v>
      </c>
      <c r="D31" s="194">
        <v>8</v>
      </c>
      <c r="E31" s="195">
        <v>21943129.260000002</v>
      </c>
      <c r="F31" s="194">
        <v>10</v>
      </c>
      <c r="G31" s="196">
        <v>21961875.600000001</v>
      </c>
    </row>
    <row r="32" spans="1:7" ht="15">
      <c r="A32" s="190"/>
      <c r="B32" s="200"/>
      <c r="C32" s="201"/>
      <c r="D32" s="200"/>
      <c r="E32" s="201"/>
      <c r="F32" s="191"/>
      <c r="G32" s="193"/>
    </row>
    <row r="33" spans="1:7" ht="15">
      <c r="A33" s="190" t="s">
        <v>62</v>
      </c>
      <c r="B33" s="202">
        <v>5071</v>
      </c>
      <c r="C33" s="203">
        <v>4809990666.6399994</v>
      </c>
      <c r="D33" s="202">
        <v>2333</v>
      </c>
      <c r="E33" s="203">
        <v>317329837.82999998</v>
      </c>
      <c r="F33" s="194">
        <v>7404</v>
      </c>
      <c r="G33" s="196">
        <v>5127320504.4699993</v>
      </c>
    </row>
    <row r="34" spans="1:7" ht="14.25">
      <c r="A34" s="197" t="s">
        <v>98</v>
      </c>
      <c r="B34" s="191">
        <v>159</v>
      </c>
      <c r="C34" s="198">
        <v>766937548.98000002</v>
      </c>
      <c r="D34" s="191">
        <v>110</v>
      </c>
      <c r="E34" s="198">
        <v>82497302.230000004</v>
      </c>
      <c r="F34" s="191">
        <v>269</v>
      </c>
      <c r="G34" s="198">
        <v>849434851.21000004</v>
      </c>
    </row>
    <row r="35" spans="1:7" ht="14.25">
      <c r="A35" s="197" t="s">
        <v>101</v>
      </c>
      <c r="B35" s="191">
        <v>31</v>
      </c>
      <c r="C35" s="198">
        <v>18877630.239999998</v>
      </c>
      <c r="D35" s="191">
        <v>81</v>
      </c>
      <c r="E35" s="198">
        <v>15956385.300000001</v>
      </c>
      <c r="F35" s="191">
        <v>112</v>
      </c>
      <c r="G35" s="198">
        <v>34834015.539999999</v>
      </c>
    </row>
    <row r="36" spans="1:7" ht="14.25">
      <c r="A36" s="197" t="s">
        <v>100</v>
      </c>
      <c r="B36" s="191">
        <v>6</v>
      </c>
      <c r="C36" s="198">
        <v>996768.68</v>
      </c>
      <c r="D36" s="191">
        <v>8</v>
      </c>
      <c r="E36" s="198">
        <v>2179357.44</v>
      </c>
      <c r="F36" s="191">
        <v>14</v>
      </c>
      <c r="G36" s="198">
        <v>3176126.12</v>
      </c>
    </row>
    <row r="37" spans="1:7" ht="14.25">
      <c r="A37" s="197" t="s">
        <v>118</v>
      </c>
      <c r="B37" s="191">
        <v>784</v>
      </c>
      <c r="C37" s="198">
        <v>826940431.86000001</v>
      </c>
      <c r="D37" s="191">
        <v>4</v>
      </c>
      <c r="E37" s="198">
        <v>5719558.0199999996</v>
      </c>
      <c r="F37" s="191">
        <v>788</v>
      </c>
      <c r="G37" s="198">
        <v>832659989.88</v>
      </c>
    </row>
    <row r="38" spans="1:7" ht="14.25">
      <c r="A38" s="197" t="s">
        <v>114</v>
      </c>
      <c r="B38" s="191">
        <v>53</v>
      </c>
      <c r="C38" s="198">
        <v>64142449.289999999</v>
      </c>
      <c r="D38" s="191">
        <v>54</v>
      </c>
      <c r="E38" s="198">
        <v>44471033.200000003</v>
      </c>
      <c r="F38" s="191">
        <v>107</v>
      </c>
      <c r="G38" s="198">
        <v>108613482.49000001</v>
      </c>
    </row>
    <row r="39" spans="1:7" ht="14.25">
      <c r="A39" s="197" t="s">
        <v>103</v>
      </c>
      <c r="B39" s="108">
        <v>0</v>
      </c>
      <c r="C39" s="199">
        <v>0</v>
      </c>
      <c r="D39" s="191">
        <v>3</v>
      </c>
      <c r="E39" s="198">
        <v>34904.03</v>
      </c>
      <c r="F39" s="191">
        <v>3</v>
      </c>
      <c r="G39" s="198">
        <v>34904.03</v>
      </c>
    </row>
    <row r="40" spans="1:7" ht="14.25">
      <c r="A40" s="197" t="s">
        <v>135</v>
      </c>
      <c r="B40" s="191">
        <v>824</v>
      </c>
      <c r="C40" s="198">
        <v>359011967.13</v>
      </c>
      <c r="D40" s="191">
        <v>1874</v>
      </c>
      <c r="E40" s="198">
        <v>92474462.739999995</v>
      </c>
      <c r="F40" s="191">
        <v>2698</v>
      </c>
      <c r="G40" s="198">
        <v>451486429.87</v>
      </c>
    </row>
    <row r="41" spans="1:7" ht="14.25">
      <c r="A41" s="197" t="s">
        <v>108</v>
      </c>
      <c r="B41" s="191">
        <v>116</v>
      </c>
      <c r="C41" s="198">
        <v>18031292.350000001</v>
      </c>
      <c r="D41" s="191">
        <v>23</v>
      </c>
      <c r="E41" s="198">
        <v>5658352.3200000003</v>
      </c>
      <c r="F41" s="191">
        <v>139</v>
      </c>
      <c r="G41" s="198">
        <v>23689644.670000002</v>
      </c>
    </row>
    <row r="42" spans="1:7" ht="14.25">
      <c r="A42" s="197" t="s">
        <v>104</v>
      </c>
      <c r="B42" s="191">
        <v>10</v>
      </c>
      <c r="C42" s="198">
        <v>2007288.86</v>
      </c>
      <c r="D42" s="191">
        <v>6</v>
      </c>
      <c r="E42" s="198">
        <v>2048997.79</v>
      </c>
      <c r="F42" s="191">
        <v>16</v>
      </c>
      <c r="G42" s="198">
        <v>4056286.6500000004</v>
      </c>
    </row>
    <row r="43" spans="1:7" ht="14.25">
      <c r="A43" s="197" t="s">
        <v>86</v>
      </c>
      <c r="B43" s="191">
        <v>595</v>
      </c>
      <c r="C43" s="198">
        <v>96666304.680000007</v>
      </c>
      <c r="D43" s="191">
        <v>7</v>
      </c>
      <c r="E43" s="198">
        <v>199971.68</v>
      </c>
      <c r="F43" s="191">
        <v>602</v>
      </c>
      <c r="G43" s="198">
        <v>96866276.360000014</v>
      </c>
    </row>
    <row r="44" spans="1:7" ht="14.25" customHeight="1">
      <c r="A44" s="197" t="s">
        <v>136</v>
      </c>
      <c r="B44" s="191">
        <v>708</v>
      </c>
      <c r="C44" s="198">
        <v>1154070680.7</v>
      </c>
      <c r="D44" s="191">
        <v>55</v>
      </c>
      <c r="E44" s="198">
        <v>44519177.469999999</v>
      </c>
      <c r="F44" s="191">
        <v>763</v>
      </c>
      <c r="G44" s="198">
        <v>1198589858.1700001</v>
      </c>
    </row>
    <row r="45" spans="1:7" ht="14.25">
      <c r="A45" s="197" t="s">
        <v>111</v>
      </c>
      <c r="B45" s="191">
        <v>34</v>
      </c>
      <c r="C45" s="198">
        <v>16316450.1</v>
      </c>
      <c r="D45" s="191">
        <v>9</v>
      </c>
      <c r="E45" s="198">
        <v>521368.73</v>
      </c>
      <c r="F45" s="191">
        <v>43</v>
      </c>
      <c r="G45" s="198">
        <v>16837818.829999998</v>
      </c>
    </row>
    <row r="46" spans="1:7" ht="14.25">
      <c r="A46" s="197" t="s">
        <v>137</v>
      </c>
      <c r="B46" s="191">
        <v>464</v>
      </c>
      <c r="C46" s="198">
        <v>875700488.92999995</v>
      </c>
      <c r="D46" s="191">
        <v>21</v>
      </c>
      <c r="E46" s="198">
        <v>5076033.37</v>
      </c>
      <c r="F46" s="191">
        <v>485</v>
      </c>
      <c r="G46" s="198">
        <v>880776522.29999995</v>
      </c>
    </row>
    <row r="47" spans="1:7" ht="14.25">
      <c r="A47" s="204" t="s">
        <v>87</v>
      </c>
      <c r="B47" s="205">
        <v>1287</v>
      </c>
      <c r="C47" s="206">
        <v>610291364.84000003</v>
      </c>
      <c r="D47" s="205">
        <v>78</v>
      </c>
      <c r="E47" s="206">
        <v>15972933.51</v>
      </c>
      <c r="F47" s="205">
        <v>1365</v>
      </c>
      <c r="G47" s="206">
        <v>626264298.35000002</v>
      </c>
    </row>
    <row r="48" spans="1:7" ht="15">
      <c r="A48" s="207"/>
      <c r="D48" s="974"/>
      <c r="E48" s="974"/>
    </row>
    <row r="49" spans="1:5" ht="15">
      <c r="A49" s="209"/>
    </row>
    <row r="50" spans="1:5" ht="15">
      <c r="A50" s="209"/>
      <c r="B50" s="210"/>
      <c r="C50" s="210"/>
      <c r="D50" s="210"/>
      <c r="E50" s="210"/>
    </row>
    <row r="51" spans="1:5">
      <c r="A51" s="211"/>
    </row>
    <row r="52" spans="1:5">
      <c r="A52" s="211"/>
    </row>
  </sheetData>
  <mergeCells count="8">
    <mergeCell ref="B8:C8"/>
    <mergeCell ref="D8:E8"/>
    <mergeCell ref="F8:G8"/>
    <mergeCell ref="A1:G1"/>
    <mergeCell ref="A2:G2"/>
    <mergeCell ref="A3:G3"/>
    <mergeCell ref="A4:G4"/>
    <mergeCell ref="A6:G6"/>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52"/>
  <sheetViews>
    <sheetView showGridLines="0" workbookViewId="0">
      <selection activeCell="F15" sqref="F15"/>
    </sheetView>
  </sheetViews>
  <sheetFormatPr defaultColWidth="10" defaultRowHeight="12.75"/>
  <cols>
    <col min="1" max="1" width="21.5703125" style="208" bestFit="1" customWidth="1"/>
    <col min="2" max="2" width="10.28515625" style="208" bestFit="1" customWidth="1"/>
    <col min="3" max="3" width="14.140625" style="208" bestFit="1" customWidth="1"/>
    <col min="4" max="4" width="10.28515625" style="208" bestFit="1" customWidth="1"/>
    <col min="5" max="5" width="13.7109375" style="208" bestFit="1" customWidth="1"/>
    <col min="6" max="6" width="10.140625" style="208" bestFit="1" customWidth="1"/>
    <col min="7" max="7" width="14.140625" style="208" bestFit="1" customWidth="1"/>
    <col min="8" max="16384" width="10" style="208"/>
  </cols>
  <sheetData>
    <row r="1" spans="1:7" ht="15" customHeight="1">
      <c r="A1" s="1008" t="s">
        <v>125</v>
      </c>
      <c r="B1" s="1009"/>
      <c r="C1" s="1009"/>
      <c r="D1" s="1009"/>
      <c r="E1" s="1009"/>
      <c r="F1" s="1009"/>
      <c r="G1" s="1009"/>
    </row>
    <row r="2" spans="1:7" ht="15" customHeight="1">
      <c r="A2" s="1008" t="s">
        <v>126</v>
      </c>
      <c r="B2" s="1009"/>
      <c r="C2" s="1009"/>
      <c r="D2" s="1009"/>
      <c r="E2" s="1009"/>
      <c r="F2" s="1009"/>
      <c r="G2" s="1009"/>
    </row>
    <row r="3" spans="1:7" ht="15" customHeight="1">
      <c r="A3" s="1008" t="s">
        <v>127</v>
      </c>
      <c r="B3" s="1009"/>
      <c r="C3" s="1009"/>
      <c r="D3" s="1009"/>
      <c r="E3" s="1009"/>
      <c r="F3" s="1009"/>
      <c r="G3" s="1009"/>
    </row>
    <row r="4" spans="1:7" ht="15">
      <c r="A4" s="1008" t="s">
        <v>69</v>
      </c>
      <c r="B4" s="1009"/>
      <c r="C4" s="1009"/>
      <c r="D4" s="1009"/>
      <c r="E4" s="1009"/>
      <c r="F4" s="1009"/>
      <c r="G4" s="1009"/>
    </row>
    <row r="5" spans="1:7" ht="6.95" customHeight="1">
      <c r="A5" s="178"/>
      <c r="B5" s="178"/>
      <c r="C5" s="178"/>
      <c r="D5" s="178"/>
      <c r="E5" s="178"/>
      <c r="F5" s="178"/>
      <c r="G5" s="178"/>
    </row>
    <row r="6" spans="1:7" ht="15">
      <c r="A6" s="1008" t="s">
        <v>121</v>
      </c>
      <c r="B6" s="1009"/>
      <c r="C6" s="1009"/>
      <c r="D6" s="1009"/>
      <c r="E6" s="1009"/>
      <c r="F6" s="1009"/>
      <c r="G6" s="1009"/>
    </row>
    <row r="7" spans="1:7" ht="6.95" customHeight="1">
      <c r="A7" s="179"/>
      <c r="B7" s="178"/>
      <c r="C7" s="178"/>
      <c r="D7" s="178"/>
      <c r="E7" s="178"/>
      <c r="F7" s="178"/>
      <c r="G7" s="178"/>
    </row>
    <row r="8" spans="1:7" ht="13.9" customHeight="1">
      <c r="A8" s="180"/>
      <c r="B8" s="1004" t="s">
        <v>36</v>
      </c>
      <c r="C8" s="1005"/>
      <c r="D8" s="1004" t="s">
        <v>128</v>
      </c>
      <c r="E8" s="1005"/>
      <c r="F8" s="1006" t="s">
        <v>129</v>
      </c>
      <c r="G8" s="1007"/>
    </row>
    <row r="9" spans="1:7" ht="15">
      <c r="A9" s="181" t="s">
        <v>72</v>
      </c>
      <c r="B9" s="182" t="s">
        <v>130</v>
      </c>
      <c r="C9" s="183" t="s">
        <v>79</v>
      </c>
      <c r="D9" s="182" t="s">
        <v>130</v>
      </c>
      <c r="E9" s="183" t="s">
        <v>79</v>
      </c>
      <c r="F9" s="184" t="s">
        <v>130</v>
      </c>
      <c r="G9" s="185" t="s">
        <v>79</v>
      </c>
    </row>
    <row r="10" spans="1:7" ht="19.899999999999999" customHeight="1">
      <c r="A10" s="186" t="s">
        <v>120</v>
      </c>
      <c r="B10" s="187">
        <v>6112</v>
      </c>
      <c r="C10" s="188">
        <v>1517920302.8199999</v>
      </c>
      <c r="D10" s="187">
        <v>52623</v>
      </c>
      <c r="E10" s="188">
        <v>275525739.05999994</v>
      </c>
      <c r="F10" s="187">
        <v>58735</v>
      </c>
      <c r="G10" s="189">
        <v>1793446041.8799999</v>
      </c>
    </row>
    <row r="11" spans="1:7" ht="15">
      <c r="A11" s="190"/>
      <c r="B11" s="191"/>
      <c r="C11" s="192"/>
      <c r="D11" s="191"/>
      <c r="E11" s="192"/>
      <c r="F11" s="191"/>
      <c r="G11" s="193"/>
    </row>
    <row r="12" spans="1:7" ht="15">
      <c r="A12" s="190" t="s">
        <v>59</v>
      </c>
      <c r="B12" s="194">
        <v>1020</v>
      </c>
      <c r="C12" s="195">
        <v>4793941.16</v>
      </c>
      <c r="D12" s="194">
        <v>35938</v>
      </c>
      <c r="E12" s="195">
        <v>32736186.910000004</v>
      </c>
      <c r="F12" s="194">
        <v>36958</v>
      </c>
      <c r="G12" s="196">
        <v>37530128.070000008</v>
      </c>
    </row>
    <row r="13" spans="1:7" ht="14.25">
      <c r="A13" s="197" t="s">
        <v>82</v>
      </c>
      <c r="B13" s="191">
        <v>117</v>
      </c>
      <c r="C13" s="198">
        <v>728204.56</v>
      </c>
      <c r="D13" s="191">
        <v>13690</v>
      </c>
      <c r="E13" s="198">
        <v>9160903.3300000001</v>
      </c>
      <c r="F13" s="191">
        <v>13807</v>
      </c>
      <c r="G13" s="198">
        <v>9889107.8900000006</v>
      </c>
    </row>
    <row r="14" spans="1:7" ht="14.25">
      <c r="A14" s="197" t="s">
        <v>83</v>
      </c>
      <c r="B14" s="191">
        <v>94</v>
      </c>
      <c r="C14" s="198">
        <v>442334.26</v>
      </c>
      <c r="D14" s="191">
        <v>15174</v>
      </c>
      <c r="E14" s="198">
        <v>11690326.01</v>
      </c>
      <c r="F14" s="191">
        <v>15268</v>
      </c>
      <c r="G14" s="198">
        <v>12132660.27</v>
      </c>
    </row>
    <row r="15" spans="1:7" ht="14.25">
      <c r="A15" s="197" t="s">
        <v>84</v>
      </c>
      <c r="B15" s="191">
        <v>40</v>
      </c>
      <c r="C15" s="198">
        <v>175852.23</v>
      </c>
      <c r="D15" s="191">
        <v>5164</v>
      </c>
      <c r="E15" s="198">
        <v>8690522.4399999995</v>
      </c>
      <c r="F15" s="191">
        <v>5204</v>
      </c>
      <c r="G15" s="198">
        <v>8866374.6699999999</v>
      </c>
    </row>
    <row r="16" spans="1:7" ht="14.25">
      <c r="A16" s="197" t="s">
        <v>85</v>
      </c>
      <c r="B16" s="191">
        <v>1</v>
      </c>
      <c r="C16" s="198">
        <v>2331.35</v>
      </c>
      <c r="D16" s="191">
        <v>1686</v>
      </c>
      <c r="E16" s="198">
        <v>2622914.91</v>
      </c>
      <c r="F16" s="191">
        <v>1687</v>
      </c>
      <c r="G16" s="198">
        <v>2625246.2600000002</v>
      </c>
    </row>
    <row r="17" spans="1:7" ht="14.25">
      <c r="A17" s="197" t="s">
        <v>86</v>
      </c>
      <c r="B17" s="191">
        <v>745</v>
      </c>
      <c r="C17" s="198">
        <v>3391880.17</v>
      </c>
      <c r="D17" s="191">
        <v>3</v>
      </c>
      <c r="E17" s="198">
        <v>5344.19</v>
      </c>
      <c r="F17" s="191">
        <v>748</v>
      </c>
      <c r="G17" s="198">
        <v>3397224.36</v>
      </c>
    </row>
    <row r="18" spans="1:7" ht="14.25">
      <c r="A18" s="197" t="s">
        <v>87</v>
      </c>
      <c r="B18" s="191">
        <v>23</v>
      </c>
      <c r="C18" s="198">
        <v>53338.59</v>
      </c>
      <c r="D18" s="191">
        <v>221</v>
      </c>
      <c r="E18" s="198">
        <v>566176.03</v>
      </c>
      <c r="F18" s="191">
        <v>244</v>
      </c>
      <c r="G18" s="198">
        <v>619514.62</v>
      </c>
    </row>
    <row r="19" spans="1:7" ht="15">
      <c r="A19" s="190"/>
      <c r="B19" s="200"/>
      <c r="C19" s="201"/>
      <c r="D19" s="200"/>
      <c r="E19" s="201"/>
      <c r="F19" s="191"/>
      <c r="G19" s="193"/>
    </row>
    <row r="20" spans="1:7" ht="15">
      <c r="A20" s="190" t="s">
        <v>60</v>
      </c>
      <c r="B20" s="202">
        <v>1407</v>
      </c>
      <c r="C20" s="203">
        <v>300263485.88999999</v>
      </c>
      <c r="D20" s="202">
        <v>15750</v>
      </c>
      <c r="E20" s="203">
        <v>129471047.50999999</v>
      </c>
      <c r="F20" s="194">
        <v>17157</v>
      </c>
      <c r="G20" s="196">
        <v>429734533.39999998</v>
      </c>
    </row>
    <row r="21" spans="1:7" ht="14.25">
      <c r="A21" s="197" t="s">
        <v>88</v>
      </c>
      <c r="B21" s="191">
        <v>959</v>
      </c>
      <c r="C21" s="198">
        <v>225080849.53999999</v>
      </c>
      <c r="D21" s="191">
        <v>1072</v>
      </c>
      <c r="E21" s="198">
        <v>77592519.480000004</v>
      </c>
      <c r="F21" s="191">
        <v>2031</v>
      </c>
      <c r="G21" s="198">
        <v>302673369.01999998</v>
      </c>
    </row>
    <row r="22" spans="1:7" ht="14.25">
      <c r="A22" s="197" t="s">
        <v>89</v>
      </c>
      <c r="B22" s="191">
        <v>77</v>
      </c>
      <c r="C22" s="198">
        <v>60788042.030000001</v>
      </c>
      <c r="D22" s="191">
        <v>341</v>
      </c>
      <c r="E22" s="198">
        <v>10501477.41</v>
      </c>
      <c r="F22" s="191">
        <v>418</v>
      </c>
      <c r="G22" s="198">
        <v>71289519.439999998</v>
      </c>
    </row>
    <row r="23" spans="1:7" ht="14.25">
      <c r="A23" s="197" t="s">
        <v>85</v>
      </c>
      <c r="B23" s="191">
        <v>204</v>
      </c>
      <c r="C23" s="198">
        <v>530832.1</v>
      </c>
      <c r="D23" s="191">
        <v>13438</v>
      </c>
      <c r="E23" s="198">
        <v>23053067.100000001</v>
      </c>
      <c r="F23" s="191">
        <v>13642</v>
      </c>
      <c r="G23" s="198">
        <v>23583899.200000003</v>
      </c>
    </row>
    <row r="24" spans="1:7" ht="14.25">
      <c r="A24" s="197" t="s">
        <v>90</v>
      </c>
      <c r="B24" s="191">
        <v>31</v>
      </c>
      <c r="C24" s="198">
        <v>9958816.0299999993</v>
      </c>
      <c r="D24" s="191">
        <v>22</v>
      </c>
      <c r="E24" s="198">
        <v>4991118.8499999996</v>
      </c>
      <c r="F24" s="191">
        <v>53</v>
      </c>
      <c r="G24" s="198">
        <v>14949934.879999999</v>
      </c>
    </row>
    <row r="25" spans="1:7" ht="14.25">
      <c r="A25" s="197" t="s">
        <v>91</v>
      </c>
      <c r="B25" s="191">
        <v>4</v>
      </c>
      <c r="C25" s="198">
        <v>1049241.2</v>
      </c>
      <c r="D25" s="191">
        <v>7</v>
      </c>
      <c r="E25" s="198">
        <v>1779957.07</v>
      </c>
      <c r="F25" s="191">
        <v>11</v>
      </c>
      <c r="G25" s="198">
        <v>2829198.27</v>
      </c>
    </row>
    <row r="26" spans="1:7" ht="14.25">
      <c r="A26" s="197" t="s">
        <v>131</v>
      </c>
      <c r="B26" s="191">
        <v>126</v>
      </c>
      <c r="C26" s="198">
        <v>2737623.29</v>
      </c>
      <c r="D26" s="191">
        <v>806</v>
      </c>
      <c r="E26" s="198">
        <v>11206993.109999999</v>
      </c>
      <c r="F26" s="191">
        <v>932</v>
      </c>
      <c r="G26" s="198">
        <v>13944616.399999999</v>
      </c>
    </row>
    <row r="27" spans="1:7" ht="14.25">
      <c r="A27" s="197" t="s">
        <v>132</v>
      </c>
      <c r="B27" s="191">
        <v>5</v>
      </c>
      <c r="C27" s="198">
        <v>112563.28</v>
      </c>
      <c r="D27" s="191">
        <v>18</v>
      </c>
      <c r="E27" s="198">
        <v>145018.97</v>
      </c>
      <c r="F27" s="191">
        <v>23</v>
      </c>
      <c r="G27" s="198">
        <v>257582.25</v>
      </c>
    </row>
    <row r="28" spans="1:7" ht="14.25" customHeight="1">
      <c r="A28" s="197" t="s">
        <v>133</v>
      </c>
      <c r="B28" s="191">
        <v>1</v>
      </c>
      <c r="C28" s="198">
        <v>5518.42</v>
      </c>
      <c r="D28" s="191">
        <v>46</v>
      </c>
      <c r="E28" s="198">
        <v>200895.52</v>
      </c>
      <c r="F28" s="191">
        <v>47</v>
      </c>
      <c r="G28" s="198">
        <v>206413.94</v>
      </c>
    </row>
    <row r="29" spans="1:7" ht="14.25">
      <c r="A29" s="197" t="s">
        <v>134</v>
      </c>
      <c r="B29" s="108">
        <v>0</v>
      </c>
      <c r="C29" s="199">
        <v>0</v>
      </c>
      <c r="D29" s="108">
        <v>0</v>
      </c>
      <c r="E29" s="199">
        <v>0</v>
      </c>
      <c r="F29" s="108">
        <v>0</v>
      </c>
      <c r="G29" s="199">
        <v>0</v>
      </c>
    </row>
    <row r="30" spans="1:7" ht="15">
      <c r="A30" s="190"/>
      <c r="B30" s="200"/>
      <c r="C30" s="201"/>
      <c r="D30" s="200"/>
      <c r="E30" s="201"/>
      <c r="F30" s="191"/>
      <c r="G30" s="193"/>
    </row>
    <row r="31" spans="1:7" ht="15">
      <c r="A31" s="190" t="s">
        <v>61</v>
      </c>
      <c r="B31" s="194">
        <v>2</v>
      </c>
      <c r="C31" s="196">
        <v>10332630</v>
      </c>
      <c r="D31" s="194">
        <v>1</v>
      </c>
      <c r="E31" s="196">
        <v>6667006.5</v>
      </c>
      <c r="F31" s="194">
        <v>3</v>
      </c>
      <c r="G31" s="196">
        <v>16999636.5</v>
      </c>
    </row>
    <row r="32" spans="1:7" ht="15">
      <c r="A32" s="190"/>
      <c r="B32" s="200"/>
      <c r="C32" s="201"/>
      <c r="D32" s="200"/>
      <c r="E32" s="201"/>
      <c r="F32" s="191"/>
      <c r="G32" s="193"/>
    </row>
    <row r="33" spans="1:7" ht="15">
      <c r="A33" s="190" t="s">
        <v>62</v>
      </c>
      <c r="B33" s="202">
        <v>3683</v>
      </c>
      <c r="C33" s="203">
        <v>1202530245.77</v>
      </c>
      <c r="D33" s="202">
        <v>934</v>
      </c>
      <c r="E33" s="203">
        <v>106651498.13999999</v>
      </c>
      <c r="F33" s="194">
        <v>4617</v>
      </c>
      <c r="G33" s="196">
        <v>1309181743.9099998</v>
      </c>
    </row>
    <row r="34" spans="1:7" ht="14.25">
      <c r="A34" s="197" t="s">
        <v>98</v>
      </c>
      <c r="B34" s="191">
        <v>51</v>
      </c>
      <c r="C34" s="198">
        <v>9383053.5500000007</v>
      </c>
      <c r="D34" s="191">
        <v>96</v>
      </c>
      <c r="E34" s="198">
        <v>13336004.93</v>
      </c>
      <c r="F34" s="191">
        <v>147</v>
      </c>
      <c r="G34" s="198">
        <v>22719058.48</v>
      </c>
    </row>
    <row r="35" spans="1:7" ht="14.25">
      <c r="A35" s="197" t="s">
        <v>101</v>
      </c>
      <c r="B35" s="191">
        <v>31</v>
      </c>
      <c r="C35" s="198">
        <v>21001042.550000001</v>
      </c>
      <c r="D35" s="191">
        <v>309</v>
      </c>
      <c r="E35" s="198">
        <v>25069647.050000001</v>
      </c>
      <c r="F35" s="191">
        <v>340</v>
      </c>
      <c r="G35" s="198">
        <v>46070689.600000001</v>
      </c>
    </row>
    <row r="36" spans="1:7" ht="14.25">
      <c r="A36" s="197" t="s">
        <v>100</v>
      </c>
      <c r="B36" s="108">
        <v>0</v>
      </c>
      <c r="C36" s="199">
        <v>0</v>
      </c>
      <c r="D36" s="108">
        <v>0</v>
      </c>
      <c r="E36" s="199">
        <v>0</v>
      </c>
      <c r="F36" s="108">
        <v>0</v>
      </c>
      <c r="G36" s="199">
        <v>0</v>
      </c>
    </row>
    <row r="37" spans="1:7" ht="14.25">
      <c r="A37" s="197" t="s">
        <v>118</v>
      </c>
      <c r="B37" s="191">
        <v>954</v>
      </c>
      <c r="C37" s="198">
        <v>191157066.59</v>
      </c>
      <c r="D37" s="191">
        <v>2</v>
      </c>
      <c r="E37" s="198">
        <v>6729197.3799999999</v>
      </c>
      <c r="F37" s="191">
        <v>956</v>
      </c>
      <c r="G37" s="198">
        <v>197886263.97</v>
      </c>
    </row>
    <row r="38" spans="1:7" ht="14.25">
      <c r="A38" s="197" t="s">
        <v>114</v>
      </c>
      <c r="B38" s="108">
        <v>1</v>
      </c>
      <c r="C38" s="199">
        <v>10563.43</v>
      </c>
      <c r="D38" s="191">
        <v>5</v>
      </c>
      <c r="E38" s="198">
        <v>895786.98</v>
      </c>
      <c r="F38" s="191">
        <v>6</v>
      </c>
      <c r="G38" s="198">
        <v>906350.41</v>
      </c>
    </row>
    <row r="39" spans="1:7" ht="14.25">
      <c r="A39" s="197" t="s">
        <v>103</v>
      </c>
      <c r="B39" s="191">
        <v>38</v>
      </c>
      <c r="C39" s="198">
        <v>11671965.67</v>
      </c>
      <c r="D39" s="191">
        <v>32</v>
      </c>
      <c r="E39" s="198">
        <v>839100.62</v>
      </c>
      <c r="F39" s="191">
        <v>70</v>
      </c>
      <c r="G39" s="198">
        <v>12511066.289999999</v>
      </c>
    </row>
    <row r="40" spans="1:7" ht="14.25">
      <c r="A40" s="197" t="s">
        <v>135</v>
      </c>
      <c r="B40" s="191">
        <v>14</v>
      </c>
      <c r="C40" s="198">
        <v>2343872.0699999998</v>
      </c>
      <c r="D40" s="191">
        <v>199</v>
      </c>
      <c r="E40" s="198">
        <v>11495425.23</v>
      </c>
      <c r="F40" s="191">
        <v>213</v>
      </c>
      <c r="G40" s="198">
        <v>13839297.300000001</v>
      </c>
    </row>
    <row r="41" spans="1:7" ht="14.25">
      <c r="A41" s="197" t="s">
        <v>108</v>
      </c>
      <c r="B41" s="191">
        <v>224</v>
      </c>
      <c r="C41" s="198">
        <v>25440393.699999999</v>
      </c>
      <c r="D41" s="191">
        <v>73</v>
      </c>
      <c r="E41" s="198">
        <v>1664651.71</v>
      </c>
      <c r="F41" s="191">
        <v>297</v>
      </c>
      <c r="G41" s="198">
        <v>27105045.41</v>
      </c>
    </row>
    <row r="42" spans="1:7" ht="14.25">
      <c r="A42" s="197" t="s">
        <v>104</v>
      </c>
      <c r="B42" s="191">
        <v>38</v>
      </c>
      <c r="C42" s="198">
        <v>7991564.8499999996</v>
      </c>
      <c r="D42" s="191">
        <v>101</v>
      </c>
      <c r="E42" s="198">
        <v>10652029.99</v>
      </c>
      <c r="F42" s="191">
        <v>139</v>
      </c>
      <c r="G42" s="198">
        <v>18643594.84</v>
      </c>
    </row>
    <row r="43" spans="1:7" ht="14.25">
      <c r="A43" s="197" t="s">
        <v>86</v>
      </c>
      <c r="B43" s="191">
        <v>334</v>
      </c>
      <c r="C43" s="198">
        <v>15081035.43</v>
      </c>
      <c r="D43" s="191">
        <v>1</v>
      </c>
      <c r="E43" s="198">
        <v>26069.99</v>
      </c>
      <c r="F43" s="191">
        <v>335</v>
      </c>
      <c r="G43" s="198">
        <v>15107105.42</v>
      </c>
    </row>
    <row r="44" spans="1:7" ht="14.25" customHeight="1">
      <c r="A44" s="197" t="s">
        <v>136</v>
      </c>
      <c r="B44" s="191">
        <v>503</v>
      </c>
      <c r="C44" s="198">
        <v>483434053.55000001</v>
      </c>
      <c r="D44" s="191">
        <v>35</v>
      </c>
      <c r="E44" s="198">
        <v>24557153.82</v>
      </c>
      <c r="F44" s="191">
        <v>538</v>
      </c>
      <c r="G44" s="198">
        <v>507991207.37</v>
      </c>
    </row>
    <row r="45" spans="1:7" ht="14.25">
      <c r="A45" s="197" t="s">
        <v>111</v>
      </c>
      <c r="B45" s="191">
        <v>1</v>
      </c>
      <c r="C45" s="198">
        <v>47868.5</v>
      </c>
      <c r="D45" s="191">
        <v>1</v>
      </c>
      <c r="E45" s="198">
        <v>360536.39</v>
      </c>
      <c r="F45" s="191">
        <v>2</v>
      </c>
      <c r="G45" s="198">
        <v>408404.89</v>
      </c>
    </row>
    <row r="46" spans="1:7" ht="14.25">
      <c r="A46" s="197" t="s">
        <v>137</v>
      </c>
      <c r="B46" s="191">
        <v>485</v>
      </c>
      <c r="C46" s="198">
        <v>213042342.87</v>
      </c>
      <c r="D46" s="191">
        <v>8</v>
      </c>
      <c r="E46" s="198">
        <v>1980200.8</v>
      </c>
      <c r="F46" s="191">
        <v>493</v>
      </c>
      <c r="G46" s="198">
        <v>215022543.67000002</v>
      </c>
    </row>
    <row r="47" spans="1:7" ht="14.25">
      <c r="A47" s="204" t="s">
        <v>87</v>
      </c>
      <c r="B47" s="205">
        <v>1009</v>
      </c>
      <c r="C47" s="206">
        <v>221925423.00999999</v>
      </c>
      <c r="D47" s="205">
        <v>72</v>
      </c>
      <c r="E47" s="206">
        <v>9045693.25</v>
      </c>
      <c r="F47" s="205">
        <v>1081</v>
      </c>
      <c r="G47" s="206">
        <v>230971116.25999999</v>
      </c>
    </row>
    <row r="48" spans="1:7" ht="15">
      <c r="A48" s="207"/>
    </row>
    <row r="49" spans="1:5" ht="15">
      <c r="A49" s="209"/>
    </row>
    <row r="50" spans="1:5" ht="15">
      <c r="A50" s="209"/>
      <c r="B50" s="210"/>
      <c r="C50" s="210"/>
      <c r="D50" s="210"/>
      <c r="E50" s="210"/>
    </row>
    <row r="51" spans="1:5">
      <c r="A51" s="211"/>
    </row>
    <row r="52" spans="1:5">
      <c r="A52" s="211"/>
    </row>
  </sheetData>
  <mergeCells count="8">
    <mergeCell ref="B8:C8"/>
    <mergeCell ref="D8:E8"/>
    <mergeCell ref="F8:G8"/>
    <mergeCell ref="A1:G1"/>
    <mergeCell ref="A2:G2"/>
    <mergeCell ref="A3:G3"/>
    <mergeCell ref="A4:G4"/>
    <mergeCell ref="A6:G6"/>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52"/>
  <sheetViews>
    <sheetView showGridLines="0" workbookViewId="0">
      <selection activeCell="G15" sqref="G15"/>
    </sheetView>
  </sheetViews>
  <sheetFormatPr defaultColWidth="10" defaultRowHeight="12.75"/>
  <cols>
    <col min="1" max="1" width="21.5703125" style="208" bestFit="1" customWidth="1"/>
    <col min="2" max="2" width="10.28515625" style="208" bestFit="1" customWidth="1"/>
    <col min="3" max="3" width="14.140625" style="208" bestFit="1" customWidth="1"/>
    <col min="4" max="4" width="10.28515625" style="208" bestFit="1" customWidth="1"/>
    <col min="5" max="5" width="13.7109375" style="208" bestFit="1" customWidth="1"/>
    <col min="6" max="6" width="10.140625" style="208" bestFit="1" customWidth="1"/>
    <col min="7" max="7" width="14.140625" style="208" bestFit="1" customWidth="1"/>
    <col min="8" max="16384" width="10" style="208"/>
  </cols>
  <sheetData>
    <row r="1" spans="1:7" ht="15" customHeight="1">
      <c r="A1" s="1008" t="s">
        <v>125</v>
      </c>
      <c r="B1" s="1009"/>
      <c r="C1" s="1009"/>
      <c r="D1" s="1009"/>
      <c r="E1" s="1009"/>
      <c r="F1" s="1009"/>
      <c r="G1" s="1009"/>
    </row>
    <row r="2" spans="1:7" ht="15" customHeight="1">
      <c r="A2" s="1008" t="s">
        <v>126</v>
      </c>
      <c r="B2" s="1009"/>
      <c r="C2" s="1009"/>
      <c r="D2" s="1009"/>
      <c r="E2" s="1009"/>
      <c r="F2" s="1009"/>
      <c r="G2" s="1009"/>
    </row>
    <row r="3" spans="1:7" ht="15" customHeight="1">
      <c r="A3" s="1008" t="s">
        <v>127</v>
      </c>
      <c r="B3" s="1009"/>
      <c r="C3" s="1009"/>
      <c r="D3" s="1009"/>
      <c r="E3" s="1009"/>
      <c r="F3" s="1009"/>
      <c r="G3" s="1009"/>
    </row>
    <row r="4" spans="1:7" ht="15">
      <c r="A4" s="1008" t="s">
        <v>69</v>
      </c>
      <c r="B4" s="1009"/>
      <c r="C4" s="1009"/>
      <c r="D4" s="1009"/>
      <c r="E4" s="1009"/>
      <c r="F4" s="1009"/>
      <c r="G4" s="1009"/>
    </row>
    <row r="5" spans="1:7" ht="6.95" customHeight="1">
      <c r="A5" s="178"/>
      <c r="B5" s="178"/>
      <c r="C5" s="178"/>
      <c r="D5" s="178"/>
      <c r="E5" s="178"/>
      <c r="F5" s="178"/>
      <c r="G5" s="178"/>
    </row>
    <row r="6" spans="1:7" ht="15">
      <c r="A6" s="1008" t="s">
        <v>122</v>
      </c>
      <c r="B6" s="1009"/>
      <c r="C6" s="1009"/>
      <c r="D6" s="1009"/>
      <c r="E6" s="1009"/>
      <c r="F6" s="1009"/>
      <c r="G6" s="1009"/>
    </row>
    <row r="7" spans="1:7" ht="6.95" customHeight="1">
      <c r="A7" s="179"/>
      <c r="B7" s="178"/>
      <c r="C7" s="178"/>
      <c r="D7" s="178"/>
      <c r="E7" s="178"/>
      <c r="F7" s="178"/>
      <c r="G7" s="178"/>
    </row>
    <row r="8" spans="1:7" ht="13.9" customHeight="1">
      <c r="A8" s="180"/>
      <c r="B8" s="1004" t="s">
        <v>36</v>
      </c>
      <c r="C8" s="1005"/>
      <c r="D8" s="1004" t="s">
        <v>128</v>
      </c>
      <c r="E8" s="1005"/>
      <c r="F8" s="1006" t="s">
        <v>129</v>
      </c>
      <c r="G8" s="1007"/>
    </row>
    <row r="9" spans="1:7" ht="15">
      <c r="A9" s="181" t="s">
        <v>72</v>
      </c>
      <c r="B9" s="182" t="s">
        <v>130</v>
      </c>
      <c r="C9" s="183" t="s">
        <v>79</v>
      </c>
      <c r="D9" s="182" t="s">
        <v>130</v>
      </c>
      <c r="E9" s="183" t="s">
        <v>79</v>
      </c>
      <c r="F9" s="184" t="s">
        <v>130</v>
      </c>
      <c r="G9" s="185" t="s">
        <v>79</v>
      </c>
    </row>
    <row r="10" spans="1:7" ht="19.899999999999999" customHeight="1">
      <c r="A10" s="213" t="s">
        <v>120</v>
      </c>
      <c r="B10" s="214">
        <v>10952</v>
      </c>
      <c r="C10" s="215">
        <v>2517910322.0900002</v>
      </c>
      <c r="D10" s="214">
        <v>157324</v>
      </c>
      <c r="E10" s="215">
        <v>729149348.94000006</v>
      </c>
      <c r="F10" s="214">
        <v>168276</v>
      </c>
      <c r="G10" s="216">
        <v>3247059671.0300002</v>
      </c>
    </row>
    <row r="11" spans="1:7" ht="15">
      <c r="A11" s="190"/>
      <c r="B11" s="191"/>
      <c r="C11" s="192"/>
      <c r="D11" s="191"/>
      <c r="E11" s="192"/>
      <c r="F11" s="191"/>
      <c r="G11" s="193"/>
    </row>
    <row r="12" spans="1:7" ht="15">
      <c r="A12" s="190" t="s">
        <v>59</v>
      </c>
      <c r="B12" s="194">
        <v>1802</v>
      </c>
      <c r="C12" s="195">
        <v>9213131.620000001</v>
      </c>
      <c r="D12" s="194">
        <v>113231</v>
      </c>
      <c r="E12" s="195">
        <v>106637328.02</v>
      </c>
      <c r="F12" s="194">
        <v>115033</v>
      </c>
      <c r="G12" s="196">
        <v>115850459.64</v>
      </c>
    </row>
    <row r="13" spans="1:7" ht="14.25">
      <c r="A13" s="197" t="s">
        <v>82</v>
      </c>
      <c r="B13" s="191">
        <v>133</v>
      </c>
      <c r="C13" s="198">
        <v>778327.99</v>
      </c>
      <c r="D13" s="191">
        <v>38655</v>
      </c>
      <c r="E13" s="198">
        <v>26721854.949999999</v>
      </c>
      <c r="F13" s="191">
        <v>38788</v>
      </c>
      <c r="G13" s="198">
        <v>27500182.939999998</v>
      </c>
    </row>
    <row r="14" spans="1:7" ht="14.25">
      <c r="A14" s="197" t="s">
        <v>83</v>
      </c>
      <c r="B14" s="191">
        <v>254</v>
      </c>
      <c r="C14" s="198">
        <v>1278596.97</v>
      </c>
      <c r="D14" s="191">
        <v>51648</v>
      </c>
      <c r="E14" s="198">
        <v>44036599.369999997</v>
      </c>
      <c r="F14" s="191">
        <v>51902</v>
      </c>
      <c r="G14" s="198">
        <v>45315196.339999996</v>
      </c>
    </row>
    <row r="15" spans="1:7" ht="14.25">
      <c r="A15" s="197" t="s">
        <v>84</v>
      </c>
      <c r="B15" s="191">
        <v>180</v>
      </c>
      <c r="C15" s="198">
        <v>980760.26</v>
      </c>
      <c r="D15" s="191">
        <v>16228</v>
      </c>
      <c r="E15" s="198">
        <v>21874479.5</v>
      </c>
      <c r="F15" s="191">
        <v>16408</v>
      </c>
      <c r="G15" s="198">
        <v>22855239.760000002</v>
      </c>
    </row>
    <row r="16" spans="1:7" ht="14.25">
      <c r="A16" s="197" t="s">
        <v>85</v>
      </c>
      <c r="B16" s="191">
        <v>27</v>
      </c>
      <c r="C16" s="198">
        <v>65285.81</v>
      </c>
      <c r="D16" s="191">
        <v>5077</v>
      </c>
      <c r="E16" s="198">
        <v>12459646.02</v>
      </c>
      <c r="F16" s="191">
        <v>5104</v>
      </c>
      <c r="G16" s="198">
        <v>12524931.83</v>
      </c>
    </row>
    <row r="17" spans="1:7" ht="14.25">
      <c r="A17" s="197" t="s">
        <v>86</v>
      </c>
      <c r="B17" s="191">
        <v>1103</v>
      </c>
      <c r="C17" s="198">
        <v>5419024.54</v>
      </c>
      <c r="D17" s="191">
        <v>4</v>
      </c>
      <c r="E17" s="198">
        <v>8688.09</v>
      </c>
      <c r="F17" s="191">
        <v>1107</v>
      </c>
      <c r="G17" s="198">
        <v>5427712.6299999999</v>
      </c>
    </row>
    <row r="18" spans="1:7" ht="14.25">
      <c r="A18" s="197" t="s">
        <v>87</v>
      </c>
      <c r="B18" s="191">
        <v>105</v>
      </c>
      <c r="C18" s="198">
        <v>691136.05</v>
      </c>
      <c r="D18" s="191">
        <v>1619</v>
      </c>
      <c r="E18" s="198">
        <v>1536060.09</v>
      </c>
      <c r="F18" s="191">
        <v>1724</v>
      </c>
      <c r="G18" s="198">
        <v>2227196.14</v>
      </c>
    </row>
    <row r="19" spans="1:7" ht="15">
      <c r="A19" s="190"/>
      <c r="B19" s="200"/>
      <c r="C19" s="201"/>
      <c r="D19" s="200"/>
      <c r="E19" s="201"/>
      <c r="F19" s="191"/>
      <c r="G19" s="193"/>
    </row>
    <row r="20" spans="1:7" ht="15">
      <c r="A20" s="190" t="s">
        <v>60</v>
      </c>
      <c r="B20" s="202">
        <v>1474</v>
      </c>
      <c r="C20" s="203">
        <v>363051476.77000004</v>
      </c>
      <c r="D20" s="202">
        <v>35894</v>
      </c>
      <c r="E20" s="203">
        <v>423428441.13</v>
      </c>
      <c r="F20" s="202">
        <v>37368</v>
      </c>
      <c r="G20" s="196">
        <v>786479917.9000001</v>
      </c>
    </row>
    <row r="21" spans="1:7" ht="14.25">
      <c r="A21" s="197" t="s">
        <v>88</v>
      </c>
      <c r="B21" s="191">
        <v>779</v>
      </c>
      <c r="C21" s="198">
        <v>288535859.86000001</v>
      </c>
      <c r="D21" s="191">
        <v>799</v>
      </c>
      <c r="E21" s="198">
        <v>153504456.63</v>
      </c>
      <c r="F21" s="191">
        <v>1578</v>
      </c>
      <c r="G21" s="198">
        <v>442040316.49000001</v>
      </c>
    </row>
    <row r="22" spans="1:7" ht="14.25">
      <c r="A22" s="197" t="s">
        <v>89</v>
      </c>
      <c r="B22" s="191">
        <v>47</v>
      </c>
      <c r="C22" s="198">
        <v>49500677.560000002</v>
      </c>
      <c r="D22" s="191">
        <v>855</v>
      </c>
      <c r="E22" s="198">
        <v>19289224.920000002</v>
      </c>
      <c r="F22" s="191">
        <v>902</v>
      </c>
      <c r="G22" s="198">
        <v>68789902.480000004</v>
      </c>
    </row>
    <row r="23" spans="1:7" ht="14.25">
      <c r="A23" s="197" t="s">
        <v>85</v>
      </c>
      <c r="B23" s="191">
        <v>84</v>
      </c>
      <c r="C23" s="198">
        <v>431443.67</v>
      </c>
      <c r="D23" s="191">
        <v>23889</v>
      </c>
      <c r="E23" s="198">
        <v>145770289.77000001</v>
      </c>
      <c r="F23" s="191">
        <v>23973</v>
      </c>
      <c r="G23" s="198">
        <v>146201733.44</v>
      </c>
    </row>
    <row r="24" spans="1:7" ht="14.25">
      <c r="A24" s="197" t="s">
        <v>90</v>
      </c>
      <c r="B24" s="191">
        <v>24</v>
      </c>
      <c r="C24" s="198">
        <v>15949495.73</v>
      </c>
      <c r="D24" s="191">
        <v>87</v>
      </c>
      <c r="E24" s="198">
        <v>30862219.780000001</v>
      </c>
      <c r="F24" s="191">
        <v>111</v>
      </c>
      <c r="G24" s="198">
        <v>46811715.510000005</v>
      </c>
    </row>
    <row r="25" spans="1:7" ht="14.25">
      <c r="A25" s="197" t="s">
        <v>91</v>
      </c>
      <c r="B25" s="191">
        <v>4</v>
      </c>
      <c r="C25" s="198">
        <v>814516.56</v>
      </c>
      <c r="D25" s="191">
        <v>28</v>
      </c>
      <c r="E25" s="198">
        <v>6130722.96</v>
      </c>
      <c r="F25" s="191">
        <v>32</v>
      </c>
      <c r="G25" s="198">
        <v>6945239.5199999996</v>
      </c>
    </row>
    <row r="26" spans="1:7" ht="14.25">
      <c r="A26" s="197" t="s">
        <v>131</v>
      </c>
      <c r="B26" s="191">
        <v>482</v>
      </c>
      <c r="C26" s="198">
        <v>7218387.7000000002</v>
      </c>
      <c r="D26" s="191">
        <v>3969</v>
      </c>
      <c r="E26" s="198">
        <v>35224650.649999999</v>
      </c>
      <c r="F26" s="191">
        <v>4451</v>
      </c>
      <c r="G26" s="198">
        <v>42443038.350000001</v>
      </c>
    </row>
    <row r="27" spans="1:7" ht="14.25">
      <c r="A27" s="197" t="s">
        <v>132</v>
      </c>
      <c r="B27" s="191">
        <v>18</v>
      </c>
      <c r="C27" s="198">
        <v>308056.65999999997</v>
      </c>
      <c r="D27" s="191">
        <v>731</v>
      </c>
      <c r="E27" s="198">
        <v>1387213.83</v>
      </c>
      <c r="F27" s="191">
        <v>749</v>
      </c>
      <c r="G27" s="198">
        <v>1695270.49</v>
      </c>
    </row>
    <row r="28" spans="1:7" ht="14.25" customHeight="1">
      <c r="A28" s="197" t="s">
        <v>133</v>
      </c>
      <c r="B28" s="191">
        <v>36</v>
      </c>
      <c r="C28" s="198">
        <v>293039.03000000003</v>
      </c>
      <c r="D28" s="191">
        <v>5516</v>
      </c>
      <c r="E28" s="198">
        <v>31101896.350000001</v>
      </c>
      <c r="F28" s="191">
        <v>5552</v>
      </c>
      <c r="G28" s="198">
        <v>31394935.380000003</v>
      </c>
    </row>
    <row r="29" spans="1:7" ht="14.25">
      <c r="A29" s="197" t="s">
        <v>134</v>
      </c>
      <c r="B29" s="108">
        <v>0</v>
      </c>
      <c r="C29" s="199">
        <v>0</v>
      </c>
      <c r="D29" s="191">
        <v>20</v>
      </c>
      <c r="E29" s="198">
        <v>157766.24</v>
      </c>
      <c r="F29" s="191">
        <v>20</v>
      </c>
      <c r="G29" s="198">
        <v>157766.24</v>
      </c>
    </row>
    <row r="30" spans="1:7" ht="15">
      <c r="A30" s="190"/>
      <c r="B30" s="200"/>
      <c r="C30" s="201"/>
      <c r="D30" s="200"/>
      <c r="E30" s="201"/>
      <c r="F30" s="191"/>
      <c r="G30" s="193"/>
    </row>
    <row r="31" spans="1:7" ht="15">
      <c r="A31" s="190" t="s">
        <v>61</v>
      </c>
      <c r="B31" s="202">
        <v>2</v>
      </c>
      <c r="C31" s="203">
        <v>7749472.5</v>
      </c>
      <c r="D31" s="202">
        <v>4</v>
      </c>
      <c r="E31" s="203">
        <v>3712845.48</v>
      </c>
      <c r="F31" s="194">
        <v>6</v>
      </c>
      <c r="G31" s="196">
        <v>11462317.98</v>
      </c>
    </row>
    <row r="32" spans="1:7" ht="15">
      <c r="A32" s="190"/>
      <c r="B32" s="200"/>
      <c r="C32" s="201"/>
      <c r="D32" s="200"/>
      <c r="E32" s="201"/>
      <c r="F32" s="191"/>
      <c r="G32" s="193"/>
    </row>
    <row r="33" spans="1:7" ht="15">
      <c r="A33" s="190" t="s">
        <v>62</v>
      </c>
      <c r="B33" s="202">
        <v>7674</v>
      </c>
      <c r="C33" s="203">
        <v>2137896241.2</v>
      </c>
      <c r="D33" s="202">
        <v>8195</v>
      </c>
      <c r="E33" s="203">
        <v>195370734.31</v>
      </c>
      <c r="F33" s="194">
        <v>15869</v>
      </c>
      <c r="G33" s="196">
        <v>2333266975.5100002</v>
      </c>
    </row>
    <row r="34" spans="1:7" ht="14.25">
      <c r="A34" s="197" t="s">
        <v>98</v>
      </c>
      <c r="B34" s="191">
        <v>84</v>
      </c>
      <c r="C34" s="198">
        <v>55073706.189999998</v>
      </c>
      <c r="D34" s="191">
        <v>248</v>
      </c>
      <c r="E34" s="198">
        <v>25051498.050000001</v>
      </c>
      <c r="F34" s="191">
        <v>332</v>
      </c>
      <c r="G34" s="198">
        <v>80125204.239999995</v>
      </c>
    </row>
    <row r="35" spans="1:7" ht="14.25">
      <c r="A35" s="197" t="s">
        <v>101</v>
      </c>
      <c r="B35" s="191">
        <v>29</v>
      </c>
      <c r="C35" s="198">
        <v>7805658.0700000003</v>
      </c>
      <c r="D35" s="191">
        <v>578</v>
      </c>
      <c r="E35" s="198">
        <v>35914145.090000004</v>
      </c>
      <c r="F35" s="191">
        <v>607</v>
      </c>
      <c r="G35" s="198">
        <v>43719803.160000004</v>
      </c>
    </row>
    <row r="36" spans="1:7" ht="14.25">
      <c r="A36" s="197" t="s">
        <v>100</v>
      </c>
      <c r="B36" s="191">
        <v>2</v>
      </c>
      <c r="C36" s="198">
        <v>245956.53</v>
      </c>
      <c r="D36" s="191">
        <v>12</v>
      </c>
      <c r="E36" s="198">
        <v>1794416.68</v>
      </c>
      <c r="F36" s="191">
        <v>14</v>
      </c>
      <c r="G36" s="198">
        <v>2040373.21</v>
      </c>
    </row>
    <row r="37" spans="1:7" ht="14.25">
      <c r="A37" s="197" t="s">
        <v>118</v>
      </c>
      <c r="B37" s="191">
        <v>1885</v>
      </c>
      <c r="C37" s="198">
        <v>367921647.87</v>
      </c>
      <c r="D37" s="191">
        <v>10</v>
      </c>
      <c r="E37" s="198">
        <v>4715722.84</v>
      </c>
      <c r="F37" s="191">
        <v>1895</v>
      </c>
      <c r="G37" s="198">
        <v>372637370.70999998</v>
      </c>
    </row>
    <row r="38" spans="1:7" ht="14.25">
      <c r="A38" s="197" t="s">
        <v>114</v>
      </c>
      <c r="B38" s="191">
        <v>8</v>
      </c>
      <c r="C38" s="198">
        <v>9954125.6899999995</v>
      </c>
      <c r="D38" s="191">
        <v>36</v>
      </c>
      <c r="E38" s="198">
        <v>17476758.91</v>
      </c>
      <c r="F38" s="191">
        <v>44</v>
      </c>
      <c r="G38" s="198">
        <v>27430884.600000001</v>
      </c>
    </row>
    <row r="39" spans="1:7" ht="14.25">
      <c r="A39" s="197" t="s">
        <v>103</v>
      </c>
      <c r="B39" s="191">
        <v>65</v>
      </c>
      <c r="C39" s="198">
        <v>5499072.1399999997</v>
      </c>
      <c r="D39" s="191">
        <v>159</v>
      </c>
      <c r="E39" s="198">
        <v>5704365.6100000003</v>
      </c>
      <c r="F39" s="191">
        <v>224</v>
      </c>
      <c r="G39" s="198">
        <v>11203437.75</v>
      </c>
    </row>
    <row r="40" spans="1:7" ht="14.25">
      <c r="A40" s="197" t="s">
        <v>135</v>
      </c>
      <c r="B40" s="191">
        <v>61</v>
      </c>
      <c r="C40" s="198">
        <v>48824637.890000001</v>
      </c>
      <c r="D40" s="191">
        <v>6449</v>
      </c>
      <c r="E40" s="198">
        <v>34052275.600000001</v>
      </c>
      <c r="F40" s="191">
        <v>6510</v>
      </c>
      <c r="G40" s="198">
        <v>82876913.49000001</v>
      </c>
    </row>
    <row r="41" spans="1:7" ht="14.25">
      <c r="A41" s="197" t="s">
        <v>108</v>
      </c>
      <c r="B41" s="191">
        <v>486</v>
      </c>
      <c r="C41" s="198">
        <v>16139630.189999999</v>
      </c>
      <c r="D41" s="191">
        <v>109</v>
      </c>
      <c r="E41" s="198">
        <v>3096634.18</v>
      </c>
      <c r="F41" s="191">
        <v>595</v>
      </c>
      <c r="G41" s="198">
        <v>19236264.370000001</v>
      </c>
    </row>
    <row r="42" spans="1:7" ht="14.25">
      <c r="A42" s="197" t="s">
        <v>104</v>
      </c>
      <c r="B42" s="191">
        <v>87</v>
      </c>
      <c r="C42" s="198">
        <v>13583471.43</v>
      </c>
      <c r="D42" s="191">
        <v>301</v>
      </c>
      <c r="E42" s="198">
        <v>14208162.619999999</v>
      </c>
      <c r="F42" s="191">
        <v>388</v>
      </c>
      <c r="G42" s="198">
        <v>27791634.049999997</v>
      </c>
    </row>
    <row r="43" spans="1:7" ht="14.25">
      <c r="A43" s="197" t="s">
        <v>86</v>
      </c>
      <c r="B43" s="191">
        <v>909</v>
      </c>
      <c r="C43" s="198">
        <v>454203651.06</v>
      </c>
      <c r="D43" s="191">
        <v>5</v>
      </c>
      <c r="E43" s="198">
        <v>210421.01</v>
      </c>
      <c r="F43" s="191">
        <v>914</v>
      </c>
      <c r="G43" s="198">
        <v>454414072.06999999</v>
      </c>
    </row>
    <row r="44" spans="1:7" ht="14.25" customHeight="1">
      <c r="A44" s="197" t="s">
        <v>136</v>
      </c>
      <c r="B44" s="191">
        <v>992</v>
      </c>
      <c r="C44" s="198">
        <v>622685244.24000001</v>
      </c>
      <c r="D44" s="191">
        <v>76</v>
      </c>
      <c r="E44" s="198">
        <v>17732095.52</v>
      </c>
      <c r="F44" s="191">
        <v>1068</v>
      </c>
      <c r="G44" s="198">
        <v>640417339.75999999</v>
      </c>
    </row>
    <row r="45" spans="1:7" ht="14.25">
      <c r="A45" s="197" t="s">
        <v>111</v>
      </c>
      <c r="B45" s="191">
        <v>8</v>
      </c>
      <c r="C45" s="198">
        <v>4161038.18</v>
      </c>
      <c r="D45" s="191">
        <v>12</v>
      </c>
      <c r="E45" s="198">
        <v>1147013.17</v>
      </c>
      <c r="F45" s="191">
        <v>20</v>
      </c>
      <c r="G45" s="198">
        <v>5308051.3499999996</v>
      </c>
    </row>
    <row r="46" spans="1:7" ht="14.25">
      <c r="A46" s="197" t="s">
        <v>137</v>
      </c>
      <c r="B46" s="191">
        <v>757</v>
      </c>
      <c r="C46" s="198">
        <v>228953836.25</v>
      </c>
      <c r="D46" s="191">
        <v>19</v>
      </c>
      <c r="E46" s="198">
        <v>3871326.34</v>
      </c>
      <c r="F46" s="191">
        <v>776</v>
      </c>
      <c r="G46" s="198">
        <v>232825162.59</v>
      </c>
    </row>
    <row r="47" spans="1:7" ht="14.25">
      <c r="A47" s="204" t="s">
        <v>87</v>
      </c>
      <c r="B47" s="205">
        <v>2301</v>
      </c>
      <c r="C47" s="206">
        <v>302844565.47000003</v>
      </c>
      <c r="D47" s="205">
        <v>181</v>
      </c>
      <c r="E47" s="206">
        <v>30395898.690000001</v>
      </c>
      <c r="F47" s="205">
        <v>2482</v>
      </c>
      <c r="G47" s="206">
        <v>333240464.16000003</v>
      </c>
    </row>
    <row r="48" spans="1:7" ht="15">
      <c r="A48" s="207"/>
    </row>
    <row r="49" spans="1:5" ht="15">
      <c r="A49" s="209"/>
    </row>
    <row r="50" spans="1:5" ht="15">
      <c r="A50" s="209"/>
      <c r="B50" s="210"/>
      <c r="C50" s="210"/>
      <c r="D50" s="210"/>
      <c r="E50" s="210"/>
    </row>
    <row r="51" spans="1:5">
      <c r="A51" s="211"/>
    </row>
    <row r="52" spans="1:5">
      <c r="A52" s="211"/>
    </row>
  </sheetData>
  <mergeCells count="8">
    <mergeCell ref="B8:C8"/>
    <mergeCell ref="D8:E8"/>
    <mergeCell ref="F8:G8"/>
    <mergeCell ref="A1:G1"/>
    <mergeCell ref="A2:G2"/>
    <mergeCell ref="A3:G3"/>
    <mergeCell ref="A4:G4"/>
    <mergeCell ref="A6:G6"/>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52"/>
  <sheetViews>
    <sheetView showGridLines="0" workbookViewId="0">
      <selection activeCell="F10" sqref="F10"/>
    </sheetView>
  </sheetViews>
  <sheetFormatPr defaultColWidth="10" defaultRowHeight="12.75"/>
  <cols>
    <col min="1" max="1" width="21.5703125" style="208" bestFit="1" customWidth="1"/>
    <col min="2" max="2" width="10.28515625" style="208" bestFit="1" customWidth="1"/>
    <col min="3" max="3" width="14.140625" style="208" bestFit="1" customWidth="1"/>
    <col min="4" max="4" width="10.28515625" style="208" bestFit="1" customWidth="1"/>
    <col min="5" max="5" width="13.7109375" style="208" bestFit="1" customWidth="1"/>
    <col min="6" max="6" width="10.140625" style="208" bestFit="1" customWidth="1"/>
    <col min="7" max="7" width="14.140625" style="208" bestFit="1" customWidth="1"/>
    <col min="8" max="9" width="10" style="208" hidden="1" customWidth="1"/>
    <col min="10" max="16384" width="10" style="208"/>
  </cols>
  <sheetData>
    <row r="1" spans="1:8" ht="15" customHeight="1">
      <c r="A1" s="1008" t="s">
        <v>125</v>
      </c>
      <c r="B1" s="1009"/>
      <c r="C1" s="1009"/>
      <c r="D1" s="1009"/>
      <c r="E1" s="1009"/>
      <c r="F1" s="1009"/>
      <c r="G1" s="1009"/>
    </row>
    <row r="2" spans="1:8" ht="15" customHeight="1">
      <c r="A2" s="1008" t="s">
        <v>126</v>
      </c>
      <c r="B2" s="1009"/>
      <c r="C2" s="1009"/>
      <c r="D2" s="1009"/>
      <c r="E2" s="1009"/>
      <c r="F2" s="1009"/>
      <c r="G2" s="1009"/>
    </row>
    <row r="3" spans="1:8" ht="15" customHeight="1">
      <c r="A3" s="1008" t="s">
        <v>127</v>
      </c>
      <c r="B3" s="1009"/>
      <c r="C3" s="1009"/>
      <c r="D3" s="1009"/>
      <c r="E3" s="1009"/>
      <c r="F3" s="1009"/>
      <c r="G3" s="1009"/>
    </row>
    <row r="4" spans="1:8" ht="15">
      <c r="A4" s="1008" t="s">
        <v>69</v>
      </c>
      <c r="B4" s="1009"/>
      <c r="C4" s="1009"/>
      <c r="D4" s="1009"/>
      <c r="E4" s="1009"/>
      <c r="F4" s="1009"/>
      <c r="G4" s="1009"/>
    </row>
    <row r="5" spans="1:8" ht="6.95" customHeight="1">
      <c r="A5" s="178"/>
      <c r="B5" s="178"/>
      <c r="C5" s="178"/>
      <c r="D5" s="178"/>
      <c r="E5" s="178"/>
      <c r="F5" s="178"/>
      <c r="G5" s="178"/>
    </row>
    <row r="6" spans="1:8" ht="15">
      <c r="A6" s="1008" t="s">
        <v>123</v>
      </c>
      <c r="B6" s="1009"/>
      <c r="C6" s="1009"/>
      <c r="D6" s="1009"/>
      <c r="E6" s="1009"/>
      <c r="F6" s="1009"/>
      <c r="G6" s="1009"/>
    </row>
    <row r="7" spans="1:8" ht="6.95" customHeight="1">
      <c r="A7" s="179"/>
      <c r="B7" s="178"/>
      <c r="C7" s="178"/>
      <c r="D7" s="178"/>
      <c r="E7" s="178"/>
      <c r="F7" s="178"/>
      <c r="G7" s="178"/>
    </row>
    <row r="8" spans="1:8" ht="13.9" customHeight="1">
      <c r="A8" s="180"/>
      <c r="B8" s="1004" t="s">
        <v>36</v>
      </c>
      <c r="C8" s="1005"/>
      <c r="D8" s="1004" t="s">
        <v>128</v>
      </c>
      <c r="E8" s="1005"/>
      <c r="F8" s="1006" t="s">
        <v>129</v>
      </c>
      <c r="G8" s="1007"/>
      <c r="H8" s="337"/>
    </row>
    <row r="9" spans="1:8" ht="15">
      <c r="A9" s="181" t="s">
        <v>72</v>
      </c>
      <c r="B9" s="182" t="s">
        <v>130</v>
      </c>
      <c r="C9" s="183" t="s">
        <v>79</v>
      </c>
      <c r="D9" s="182" t="s">
        <v>130</v>
      </c>
      <c r="E9" s="183" t="s">
        <v>79</v>
      </c>
      <c r="F9" s="184" t="s">
        <v>130</v>
      </c>
      <c r="G9" s="185" t="s">
        <v>79</v>
      </c>
      <c r="H9" s="337"/>
    </row>
    <row r="10" spans="1:8" ht="19.899999999999999" customHeight="1">
      <c r="A10" s="217" t="s">
        <v>120</v>
      </c>
      <c r="B10" s="214">
        <v>9111</v>
      </c>
      <c r="C10" s="215">
        <v>3501325192.9499998</v>
      </c>
      <c r="D10" s="214">
        <v>185248</v>
      </c>
      <c r="E10" s="215">
        <v>571419863.81999993</v>
      </c>
      <c r="F10" s="214">
        <v>194359</v>
      </c>
      <c r="G10" s="216">
        <v>4072745056.7699995</v>
      </c>
    </row>
    <row r="11" spans="1:8" ht="15">
      <c r="A11" s="218"/>
      <c r="B11" s="191"/>
      <c r="C11" s="192"/>
      <c r="D11" s="191"/>
      <c r="E11" s="192"/>
      <c r="F11" s="191"/>
      <c r="G11" s="193"/>
    </row>
    <row r="12" spans="1:8" ht="15">
      <c r="A12" s="218" t="s">
        <v>59</v>
      </c>
      <c r="B12" s="194">
        <v>2547</v>
      </c>
      <c r="C12" s="195">
        <v>25007553.530000001</v>
      </c>
      <c r="D12" s="194">
        <v>161094</v>
      </c>
      <c r="E12" s="195">
        <v>140427631.43000004</v>
      </c>
      <c r="F12" s="194">
        <v>163641</v>
      </c>
      <c r="G12" s="196">
        <v>165435184.96000004</v>
      </c>
    </row>
    <row r="13" spans="1:8" ht="14.25">
      <c r="A13" s="219" t="s">
        <v>82</v>
      </c>
      <c r="B13" s="191">
        <v>595</v>
      </c>
      <c r="C13" s="198">
        <v>3240574.68</v>
      </c>
      <c r="D13" s="191">
        <v>99888</v>
      </c>
      <c r="E13" s="198">
        <v>73950488.879999995</v>
      </c>
      <c r="F13" s="191">
        <v>100483</v>
      </c>
      <c r="G13" s="198">
        <v>77191063.560000002</v>
      </c>
    </row>
    <row r="14" spans="1:8" ht="14.25">
      <c r="A14" s="219" t="s">
        <v>83</v>
      </c>
      <c r="B14" s="191">
        <v>156</v>
      </c>
      <c r="C14" s="198">
        <v>887689.36</v>
      </c>
      <c r="D14" s="191">
        <v>46066</v>
      </c>
      <c r="E14" s="198">
        <v>40098244.630000003</v>
      </c>
      <c r="F14" s="191">
        <v>46222</v>
      </c>
      <c r="G14" s="198">
        <v>40985933.990000002</v>
      </c>
    </row>
    <row r="15" spans="1:8" ht="14.25">
      <c r="A15" s="219" t="s">
        <v>84</v>
      </c>
      <c r="B15" s="191">
        <v>34</v>
      </c>
      <c r="C15" s="198">
        <v>259662.5</v>
      </c>
      <c r="D15" s="191">
        <v>11109</v>
      </c>
      <c r="E15" s="198">
        <v>20938733.170000002</v>
      </c>
      <c r="F15" s="191">
        <v>11143</v>
      </c>
      <c r="G15" s="198">
        <v>21198395.670000002</v>
      </c>
    </row>
    <row r="16" spans="1:8" ht="14.25">
      <c r="A16" s="219" t="s">
        <v>85</v>
      </c>
      <c r="B16" s="191">
        <v>10</v>
      </c>
      <c r="C16" s="198">
        <v>32789.440000000002</v>
      </c>
      <c r="D16" s="191">
        <v>3172</v>
      </c>
      <c r="E16" s="198">
        <v>3889755.86</v>
      </c>
      <c r="F16" s="191">
        <v>3182</v>
      </c>
      <c r="G16" s="198">
        <v>3922545.3</v>
      </c>
    </row>
    <row r="17" spans="1:7" ht="14.25">
      <c r="A17" s="219" t="s">
        <v>86</v>
      </c>
      <c r="B17" s="191">
        <v>1704</v>
      </c>
      <c r="C17" s="198">
        <v>20323988.690000001</v>
      </c>
      <c r="D17" s="191">
        <v>5</v>
      </c>
      <c r="E17" s="198">
        <v>7643.96</v>
      </c>
      <c r="F17" s="191">
        <v>1709</v>
      </c>
      <c r="G17" s="198">
        <v>20331632.650000002</v>
      </c>
    </row>
    <row r="18" spans="1:7" ht="14.25">
      <c r="A18" s="219" t="s">
        <v>87</v>
      </c>
      <c r="B18" s="191">
        <v>48</v>
      </c>
      <c r="C18" s="198">
        <v>262848.86</v>
      </c>
      <c r="D18" s="191">
        <v>854</v>
      </c>
      <c r="E18" s="198">
        <v>1542764.93</v>
      </c>
      <c r="F18" s="191">
        <v>902</v>
      </c>
      <c r="G18" s="198">
        <v>1805613.79</v>
      </c>
    </row>
    <row r="19" spans="1:7" ht="15">
      <c r="A19" s="218"/>
      <c r="B19" s="200"/>
      <c r="C19" s="201"/>
      <c r="D19" s="200"/>
      <c r="E19" s="201"/>
      <c r="F19" s="191"/>
      <c r="G19" s="193"/>
    </row>
    <row r="20" spans="1:7" ht="15">
      <c r="A20" s="218" t="s">
        <v>60</v>
      </c>
      <c r="B20" s="194">
        <v>393</v>
      </c>
      <c r="C20" s="195">
        <v>202758047.27999997</v>
      </c>
      <c r="D20" s="194">
        <v>18294</v>
      </c>
      <c r="E20" s="195">
        <v>219760789.27999994</v>
      </c>
      <c r="F20" s="194">
        <v>18687</v>
      </c>
      <c r="G20" s="196">
        <v>422518836.55999994</v>
      </c>
    </row>
    <row r="21" spans="1:7" ht="14.25">
      <c r="A21" s="219" t="s">
        <v>88</v>
      </c>
      <c r="B21" s="191">
        <v>105</v>
      </c>
      <c r="C21" s="198">
        <v>138667912.96000001</v>
      </c>
      <c r="D21" s="191">
        <v>254</v>
      </c>
      <c r="E21" s="198">
        <v>67447005.879999995</v>
      </c>
      <c r="F21" s="191">
        <v>359</v>
      </c>
      <c r="G21" s="198">
        <v>206114918.84</v>
      </c>
    </row>
    <row r="22" spans="1:7" ht="14.25">
      <c r="A22" s="219" t="s">
        <v>89</v>
      </c>
      <c r="B22" s="191">
        <v>19</v>
      </c>
      <c r="C22" s="198">
        <v>51926184.880000003</v>
      </c>
      <c r="D22" s="191">
        <v>942</v>
      </c>
      <c r="E22" s="198">
        <v>32427041.609999999</v>
      </c>
      <c r="F22" s="191">
        <v>961</v>
      </c>
      <c r="G22" s="198">
        <v>84353226.49000001</v>
      </c>
    </row>
    <row r="23" spans="1:7" ht="14.25">
      <c r="A23" s="219" t="s">
        <v>85</v>
      </c>
      <c r="B23" s="191">
        <v>232</v>
      </c>
      <c r="C23" s="198">
        <v>2087595.76</v>
      </c>
      <c r="D23" s="191">
        <v>14363</v>
      </c>
      <c r="E23" s="198">
        <v>71544500.090000004</v>
      </c>
      <c r="F23" s="191">
        <v>14595</v>
      </c>
      <c r="G23" s="198">
        <v>73632095.850000009</v>
      </c>
    </row>
    <row r="24" spans="1:7" ht="14.25">
      <c r="A24" s="219" t="s">
        <v>90</v>
      </c>
      <c r="B24" s="191">
        <v>5</v>
      </c>
      <c r="C24" s="198">
        <v>9441943</v>
      </c>
      <c r="D24" s="191">
        <v>28</v>
      </c>
      <c r="E24" s="198">
        <v>9212699.9100000001</v>
      </c>
      <c r="F24" s="191">
        <v>33</v>
      </c>
      <c r="G24" s="198">
        <v>18654642.91</v>
      </c>
    </row>
    <row r="25" spans="1:7" ht="14.25">
      <c r="A25" s="219" t="s">
        <v>91</v>
      </c>
      <c r="B25" s="108">
        <v>0</v>
      </c>
      <c r="C25" s="199">
        <v>0</v>
      </c>
      <c r="D25" s="191">
        <v>36</v>
      </c>
      <c r="E25" s="198">
        <v>3386611.29</v>
      </c>
      <c r="F25" s="191">
        <v>36</v>
      </c>
      <c r="G25" s="198">
        <v>3386611.29</v>
      </c>
    </row>
    <row r="26" spans="1:7" ht="14.25">
      <c r="A26" s="219" t="s">
        <v>131</v>
      </c>
      <c r="B26" s="191">
        <v>27</v>
      </c>
      <c r="C26" s="198">
        <v>590995.44999999995</v>
      </c>
      <c r="D26" s="191">
        <v>1929</v>
      </c>
      <c r="E26" s="198">
        <v>32072539.949999999</v>
      </c>
      <c r="F26" s="191">
        <v>1956</v>
      </c>
      <c r="G26" s="198">
        <v>32663535.399999999</v>
      </c>
    </row>
    <row r="27" spans="1:7" ht="14.25">
      <c r="A27" s="219" t="s">
        <v>132</v>
      </c>
      <c r="B27" s="108">
        <v>0</v>
      </c>
      <c r="C27" s="199">
        <v>0</v>
      </c>
      <c r="D27" s="191">
        <v>34</v>
      </c>
      <c r="E27" s="198">
        <v>139220.53</v>
      </c>
      <c r="F27" s="191">
        <v>34</v>
      </c>
      <c r="G27" s="198">
        <v>139220.53</v>
      </c>
    </row>
    <row r="28" spans="1:7" ht="14.25" customHeight="1">
      <c r="A28" s="219" t="s">
        <v>133</v>
      </c>
      <c r="B28" s="191">
        <v>5</v>
      </c>
      <c r="C28" s="198">
        <v>43415.23</v>
      </c>
      <c r="D28" s="191">
        <v>707</v>
      </c>
      <c r="E28" s="198">
        <v>3462162.88</v>
      </c>
      <c r="F28" s="191">
        <v>712</v>
      </c>
      <c r="G28" s="198">
        <v>3505578.11</v>
      </c>
    </row>
    <row r="29" spans="1:7" ht="14.25">
      <c r="A29" s="219" t="s">
        <v>134</v>
      </c>
      <c r="B29" s="108">
        <v>0</v>
      </c>
      <c r="C29" s="199">
        <v>0</v>
      </c>
      <c r="D29" s="191">
        <v>1</v>
      </c>
      <c r="E29" s="198">
        <v>69007.14</v>
      </c>
      <c r="F29" s="191">
        <v>1</v>
      </c>
      <c r="G29" s="198">
        <v>69007.14</v>
      </c>
    </row>
    <row r="30" spans="1:7" ht="15">
      <c r="A30" s="218"/>
      <c r="B30" s="200"/>
      <c r="C30" s="201"/>
      <c r="D30" s="200"/>
      <c r="E30" s="201"/>
      <c r="F30" s="191"/>
      <c r="G30" s="193"/>
    </row>
    <row r="31" spans="1:7" ht="15">
      <c r="A31" s="218" t="s">
        <v>61</v>
      </c>
      <c r="B31" s="113">
        <v>63</v>
      </c>
      <c r="C31" s="196">
        <v>66023783.600000001</v>
      </c>
      <c r="D31" s="194">
        <v>3</v>
      </c>
      <c r="E31" s="196">
        <v>3608080.04</v>
      </c>
      <c r="F31" s="194">
        <v>66</v>
      </c>
      <c r="G31" s="196">
        <v>69631863.640000001</v>
      </c>
    </row>
    <row r="32" spans="1:7" ht="15">
      <c r="A32" s="218"/>
      <c r="B32" s="200"/>
      <c r="C32" s="201"/>
      <c r="D32" s="200"/>
      <c r="E32" s="201"/>
      <c r="F32" s="191"/>
      <c r="G32" s="193"/>
    </row>
    <row r="33" spans="1:7" ht="15">
      <c r="A33" s="218" t="s">
        <v>62</v>
      </c>
      <c r="B33" s="194">
        <v>6108</v>
      </c>
      <c r="C33" s="195">
        <v>3207535808.54</v>
      </c>
      <c r="D33" s="194">
        <v>5857</v>
      </c>
      <c r="E33" s="195">
        <v>207623363.06999999</v>
      </c>
      <c r="F33" s="194">
        <v>11965</v>
      </c>
      <c r="G33" s="196">
        <v>3415159171.6100001</v>
      </c>
    </row>
    <row r="34" spans="1:7" ht="14.25">
      <c r="A34" s="219" t="s">
        <v>98</v>
      </c>
      <c r="B34" s="191">
        <v>74</v>
      </c>
      <c r="C34" s="198">
        <v>17307272.809999999</v>
      </c>
      <c r="D34" s="191">
        <v>196</v>
      </c>
      <c r="E34" s="198">
        <v>27085229.199999999</v>
      </c>
      <c r="F34" s="191">
        <v>270</v>
      </c>
      <c r="G34" s="198">
        <v>44392502.009999998</v>
      </c>
    </row>
    <row r="35" spans="1:7" ht="14.25">
      <c r="A35" s="219" t="s">
        <v>101</v>
      </c>
      <c r="B35" s="191">
        <v>29</v>
      </c>
      <c r="C35" s="198">
        <v>4728341.74</v>
      </c>
      <c r="D35" s="191">
        <v>494</v>
      </c>
      <c r="E35" s="198">
        <v>33923074.75</v>
      </c>
      <c r="F35" s="191">
        <v>523</v>
      </c>
      <c r="G35" s="198">
        <v>38651416.490000002</v>
      </c>
    </row>
    <row r="36" spans="1:7" ht="14.25">
      <c r="A36" s="219" t="s">
        <v>100</v>
      </c>
      <c r="B36" s="108">
        <v>0</v>
      </c>
      <c r="C36" s="199">
        <v>0</v>
      </c>
      <c r="D36" s="191">
        <v>3</v>
      </c>
      <c r="E36" s="198">
        <v>288040.52</v>
      </c>
      <c r="F36" s="191">
        <v>3</v>
      </c>
      <c r="G36" s="198">
        <v>288040.52</v>
      </c>
    </row>
    <row r="37" spans="1:7" ht="14.25">
      <c r="A37" s="219" t="s">
        <v>118</v>
      </c>
      <c r="B37" s="191">
        <v>1965</v>
      </c>
      <c r="C37" s="198">
        <v>604386563.02999997</v>
      </c>
      <c r="D37" s="191">
        <v>10</v>
      </c>
      <c r="E37" s="198">
        <v>33033521.030000001</v>
      </c>
      <c r="F37" s="191">
        <v>1975</v>
      </c>
      <c r="G37" s="198">
        <v>637420084.05999994</v>
      </c>
    </row>
    <row r="38" spans="1:7" ht="14.25">
      <c r="A38" s="219" t="s">
        <v>114</v>
      </c>
      <c r="B38" s="191">
        <v>2</v>
      </c>
      <c r="C38" s="198">
        <v>1544163.52</v>
      </c>
      <c r="D38" s="191">
        <v>61</v>
      </c>
      <c r="E38" s="198">
        <v>19614603.039999999</v>
      </c>
      <c r="F38" s="191">
        <v>63</v>
      </c>
      <c r="G38" s="198">
        <v>21158766.559999999</v>
      </c>
    </row>
    <row r="39" spans="1:7" ht="14.25">
      <c r="A39" s="219" t="s">
        <v>103</v>
      </c>
      <c r="B39" s="191">
        <v>73</v>
      </c>
      <c r="C39" s="198">
        <v>14555116.289999999</v>
      </c>
      <c r="D39" s="191">
        <v>124</v>
      </c>
      <c r="E39" s="198">
        <v>5856074.7000000002</v>
      </c>
      <c r="F39" s="191">
        <v>197</v>
      </c>
      <c r="G39" s="198">
        <v>20411190.989999998</v>
      </c>
    </row>
    <row r="40" spans="1:7" ht="14.25">
      <c r="A40" s="219" t="s">
        <v>135</v>
      </c>
      <c r="B40" s="191">
        <v>64</v>
      </c>
      <c r="C40" s="198">
        <v>5349479.6500000004</v>
      </c>
      <c r="D40" s="191">
        <v>4481</v>
      </c>
      <c r="E40" s="198">
        <v>53370836.770000003</v>
      </c>
      <c r="F40" s="191">
        <v>4545</v>
      </c>
      <c r="G40" s="198">
        <v>58720316.420000002</v>
      </c>
    </row>
    <row r="41" spans="1:7" ht="14.25">
      <c r="A41" s="219" t="s">
        <v>108</v>
      </c>
      <c r="B41" s="191">
        <v>346</v>
      </c>
      <c r="C41" s="198">
        <v>20835120.629999999</v>
      </c>
      <c r="D41" s="191">
        <v>82</v>
      </c>
      <c r="E41" s="198">
        <v>1745752.91</v>
      </c>
      <c r="F41" s="191">
        <v>428</v>
      </c>
      <c r="G41" s="198">
        <v>22580873.539999999</v>
      </c>
    </row>
    <row r="42" spans="1:7" ht="14.25">
      <c r="A42" s="219" t="s">
        <v>104</v>
      </c>
      <c r="B42" s="191">
        <v>76</v>
      </c>
      <c r="C42" s="198">
        <v>17373193.559999999</v>
      </c>
      <c r="D42" s="191">
        <v>238</v>
      </c>
      <c r="E42" s="198">
        <v>13347660.970000001</v>
      </c>
      <c r="F42" s="191">
        <v>314</v>
      </c>
      <c r="G42" s="198">
        <v>30720854.530000001</v>
      </c>
    </row>
    <row r="43" spans="1:7" ht="14.25">
      <c r="A43" s="219" t="s">
        <v>86</v>
      </c>
      <c r="B43" s="191">
        <v>548</v>
      </c>
      <c r="C43" s="198">
        <v>290851129.16000003</v>
      </c>
      <c r="D43" s="191">
        <v>2</v>
      </c>
      <c r="E43" s="198">
        <v>137618.5</v>
      </c>
      <c r="F43" s="191">
        <v>550</v>
      </c>
      <c r="G43" s="198">
        <v>290988747.66000003</v>
      </c>
    </row>
    <row r="44" spans="1:7" ht="14.25" customHeight="1">
      <c r="A44" s="219" t="s">
        <v>136</v>
      </c>
      <c r="B44" s="191">
        <v>573</v>
      </c>
      <c r="C44" s="198">
        <v>553338350.83000004</v>
      </c>
      <c r="D44" s="191">
        <v>59</v>
      </c>
      <c r="E44" s="198">
        <v>12011356.810000001</v>
      </c>
      <c r="F44" s="191">
        <v>632</v>
      </c>
      <c r="G44" s="198">
        <v>565349707.63999999</v>
      </c>
    </row>
    <row r="45" spans="1:7" ht="14.25">
      <c r="A45" s="219" t="s">
        <v>111</v>
      </c>
      <c r="B45" s="191">
        <v>2</v>
      </c>
      <c r="C45" s="198">
        <v>2222078.52</v>
      </c>
      <c r="D45" s="191">
        <v>5</v>
      </c>
      <c r="E45" s="198">
        <v>563634.28</v>
      </c>
      <c r="F45" s="191">
        <v>7</v>
      </c>
      <c r="G45" s="198">
        <v>2785712.8</v>
      </c>
    </row>
    <row r="46" spans="1:7" ht="14.25">
      <c r="A46" s="219" t="s">
        <v>137</v>
      </c>
      <c r="B46" s="191">
        <v>676</v>
      </c>
      <c r="C46" s="198">
        <v>390004686.60000002</v>
      </c>
      <c r="D46" s="191">
        <v>22</v>
      </c>
      <c r="E46" s="198">
        <v>1651902.32</v>
      </c>
      <c r="F46" s="191">
        <v>698</v>
      </c>
      <c r="G46" s="198">
        <v>391656588.92000002</v>
      </c>
    </row>
    <row r="47" spans="1:7" ht="14.25">
      <c r="A47" s="220" t="s">
        <v>87</v>
      </c>
      <c r="B47" s="205">
        <v>1680</v>
      </c>
      <c r="C47" s="206">
        <v>1285040312.2</v>
      </c>
      <c r="D47" s="205">
        <v>80</v>
      </c>
      <c r="E47" s="206">
        <v>4994057.2699999996</v>
      </c>
      <c r="F47" s="205">
        <v>1760</v>
      </c>
      <c r="G47" s="206">
        <v>1290034369.47</v>
      </c>
    </row>
    <row r="48" spans="1:7" ht="15">
      <c r="A48" s="207"/>
    </row>
    <row r="49" spans="1:5" ht="15">
      <c r="A49" s="209"/>
    </row>
    <row r="50" spans="1:5" ht="15">
      <c r="A50" s="209"/>
      <c r="B50" s="210"/>
      <c r="C50" s="210"/>
      <c r="D50" s="210"/>
      <c r="E50" s="210"/>
    </row>
    <row r="51" spans="1:5">
      <c r="A51" s="211"/>
    </row>
    <row r="52" spans="1:5">
      <c r="A52" s="211"/>
    </row>
  </sheetData>
  <mergeCells count="8">
    <mergeCell ref="B8:C8"/>
    <mergeCell ref="D8:E8"/>
    <mergeCell ref="F8:G8"/>
    <mergeCell ref="A1:G1"/>
    <mergeCell ref="A2:G2"/>
    <mergeCell ref="A3:G3"/>
    <mergeCell ref="A4:G4"/>
    <mergeCell ref="A6:G6"/>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51"/>
  <sheetViews>
    <sheetView showGridLines="0" workbookViewId="0">
      <selection sqref="A1:XFD1048576"/>
    </sheetView>
  </sheetViews>
  <sheetFormatPr defaultColWidth="10" defaultRowHeight="12.75"/>
  <cols>
    <col min="1" max="1" width="21.5703125" style="208" bestFit="1" customWidth="1"/>
    <col min="2" max="2" width="10.28515625" style="208" bestFit="1" customWidth="1"/>
    <col min="3" max="3" width="13.7109375" style="208" bestFit="1" customWidth="1"/>
    <col min="4" max="4" width="10.28515625" style="208" bestFit="1" customWidth="1"/>
    <col min="5" max="5" width="13.7109375" style="208" bestFit="1" customWidth="1"/>
    <col min="6" max="6" width="10.140625" style="208" bestFit="1" customWidth="1"/>
    <col min="7" max="7" width="12.42578125" style="208" bestFit="1" customWidth="1"/>
    <col min="8" max="237" width="10" style="208"/>
    <col min="238" max="238" width="21.5703125" style="208" bestFit="1" customWidth="1"/>
    <col min="239" max="239" width="10.28515625" style="208" bestFit="1" customWidth="1"/>
    <col min="240" max="240" width="13.7109375" style="208" bestFit="1" customWidth="1"/>
    <col min="241" max="241" width="10.28515625" style="208" bestFit="1" customWidth="1"/>
    <col min="242" max="242" width="13.7109375" style="208" bestFit="1" customWidth="1"/>
    <col min="243" max="243" width="10.140625" style="208" bestFit="1" customWidth="1"/>
    <col min="244" max="244" width="12.42578125" style="208" bestFit="1" customWidth="1"/>
    <col min="245" max="493" width="10" style="208"/>
    <col min="494" max="494" width="21.5703125" style="208" bestFit="1" customWidth="1"/>
    <col min="495" max="495" width="10.28515625" style="208" bestFit="1" customWidth="1"/>
    <col min="496" max="496" width="13.7109375" style="208" bestFit="1" customWidth="1"/>
    <col min="497" max="497" width="10.28515625" style="208" bestFit="1" customWidth="1"/>
    <col min="498" max="498" width="13.7109375" style="208" bestFit="1" customWidth="1"/>
    <col min="499" max="499" width="10.140625" style="208" bestFit="1" customWidth="1"/>
    <col min="500" max="500" width="12.42578125" style="208" bestFit="1" customWidth="1"/>
    <col min="501" max="749" width="10" style="208"/>
    <col min="750" max="750" width="21.5703125" style="208" bestFit="1" customWidth="1"/>
    <col min="751" max="751" width="10.28515625" style="208" bestFit="1" customWidth="1"/>
    <col min="752" max="752" width="13.7109375" style="208" bestFit="1" customWidth="1"/>
    <col min="753" max="753" width="10.28515625" style="208" bestFit="1" customWidth="1"/>
    <col min="754" max="754" width="13.7109375" style="208" bestFit="1" customWidth="1"/>
    <col min="755" max="755" width="10.140625" style="208" bestFit="1" customWidth="1"/>
    <col min="756" max="756" width="12.42578125" style="208" bestFit="1" customWidth="1"/>
    <col min="757" max="1005" width="10" style="208"/>
    <col min="1006" max="1006" width="21.5703125" style="208" bestFit="1" customWidth="1"/>
    <col min="1007" max="1007" width="10.28515625" style="208" bestFit="1" customWidth="1"/>
    <col min="1008" max="1008" width="13.7109375" style="208" bestFit="1" customWidth="1"/>
    <col min="1009" max="1009" width="10.28515625" style="208" bestFit="1" customWidth="1"/>
    <col min="1010" max="1010" width="13.7109375" style="208" bestFit="1" customWidth="1"/>
    <col min="1011" max="1011" width="10.140625" style="208" bestFit="1" customWidth="1"/>
    <col min="1012" max="1012" width="12.42578125" style="208" bestFit="1" customWidth="1"/>
    <col min="1013" max="1261" width="10" style="208"/>
    <col min="1262" max="1262" width="21.5703125" style="208" bestFit="1" customWidth="1"/>
    <col min="1263" max="1263" width="10.28515625" style="208" bestFit="1" customWidth="1"/>
    <col min="1264" max="1264" width="13.7109375" style="208" bestFit="1" customWidth="1"/>
    <col min="1265" max="1265" width="10.28515625" style="208" bestFit="1" customWidth="1"/>
    <col min="1266" max="1266" width="13.7109375" style="208" bestFit="1" customWidth="1"/>
    <col min="1267" max="1267" width="10.140625" style="208" bestFit="1" customWidth="1"/>
    <col min="1268" max="1268" width="12.42578125" style="208" bestFit="1" customWidth="1"/>
    <col min="1269" max="1517" width="10" style="208"/>
    <col min="1518" max="1518" width="21.5703125" style="208" bestFit="1" customWidth="1"/>
    <col min="1519" max="1519" width="10.28515625" style="208" bestFit="1" customWidth="1"/>
    <col min="1520" max="1520" width="13.7109375" style="208" bestFit="1" customWidth="1"/>
    <col min="1521" max="1521" width="10.28515625" style="208" bestFit="1" customWidth="1"/>
    <col min="1522" max="1522" width="13.7109375" style="208" bestFit="1" customWidth="1"/>
    <col min="1523" max="1523" width="10.140625" style="208" bestFit="1" customWidth="1"/>
    <col min="1524" max="1524" width="12.42578125" style="208" bestFit="1" customWidth="1"/>
    <col min="1525" max="1773" width="10" style="208"/>
    <col min="1774" max="1774" width="21.5703125" style="208" bestFit="1" customWidth="1"/>
    <col min="1775" max="1775" width="10.28515625" style="208" bestFit="1" customWidth="1"/>
    <col min="1776" max="1776" width="13.7109375" style="208" bestFit="1" customWidth="1"/>
    <col min="1777" max="1777" width="10.28515625" style="208" bestFit="1" customWidth="1"/>
    <col min="1778" max="1778" width="13.7109375" style="208" bestFit="1" customWidth="1"/>
    <col min="1779" max="1779" width="10.140625" style="208" bestFit="1" customWidth="1"/>
    <col min="1780" max="1780" width="12.42578125" style="208" bestFit="1" customWidth="1"/>
    <col min="1781" max="2029" width="10" style="208"/>
    <col min="2030" max="2030" width="21.5703125" style="208" bestFit="1" customWidth="1"/>
    <col min="2031" max="2031" width="10.28515625" style="208" bestFit="1" customWidth="1"/>
    <col min="2032" max="2032" width="13.7109375" style="208" bestFit="1" customWidth="1"/>
    <col min="2033" max="2033" width="10.28515625" style="208" bestFit="1" customWidth="1"/>
    <col min="2034" max="2034" width="13.7109375" style="208" bestFit="1" customWidth="1"/>
    <col min="2035" max="2035" width="10.140625" style="208" bestFit="1" customWidth="1"/>
    <col min="2036" max="2036" width="12.42578125" style="208" bestFit="1" customWidth="1"/>
    <col min="2037" max="2285" width="10" style="208"/>
    <col min="2286" max="2286" width="21.5703125" style="208" bestFit="1" customWidth="1"/>
    <col min="2287" max="2287" width="10.28515625" style="208" bestFit="1" customWidth="1"/>
    <col min="2288" max="2288" width="13.7109375" style="208" bestFit="1" customWidth="1"/>
    <col min="2289" max="2289" width="10.28515625" style="208" bestFit="1" customWidth="1"/>
    <col min="2290" max="2290" width="13.7109375" style="208" bestFit="1" customWidth="1"/>
    <col min="2291" max="2291" width="10.140625" style="208" bestFit="1" customWidth="1"/>
    <col min="2292" max="2292" width="12.42578125" style="208" bestFit="1" customWidth="1"/>
    <col min="2293" max="2541" width="10" style="208"/>
    <col min="2542" max="2542" width="21.5703125" style="208" bestFit="1" customWidth="1"/>
    <col min="2543" max="2543" width="10.28515625" style="208" bestFit="1" customWidth="1"/>
    <col min="2544" max="2544" width="13.7109375" style="208" bestFit="1" customWidth="1"/>
    <col min="2545" max="2545" width="10.28515625" style="208" bestFit="1" customWidth="1"/>
    <col min="2546" max="2546" width="13.7109375" style="208" bestFit="1" customWidth="1"/>
    <col min="2547" max="2547" width="10.140625" style="208" bestFit="1" customWidth="1"/>
    <col min="2548" max="2548" width="12.42578125" style="208" bestFit="1" customWidth="1"/>
    <col min="2549" max="2797" width="10" style="208"/>
    <col min="2798" max="2798" width="21.5703125" style="208" bestFit="1" customWidth="1"/>
    <col min="2799" max="2799" width="10.28515625" style="208" bestFit="1" customWidth="1"/>
    <col min="2800" max="2800" width="13.7109375" style="208" bestFit="1" customWidth="1"/>
    <col min="2801" max="2801" width="10.28515625" style="208" bestFit="1" customWidth="1"/>
    <col min="2802" max="2802" width="13.7109375" style="208" bestFit="1" customWidth="1"/>
    <col min="2803" max="2803" width="10.140625" style="208" bestFit="1" customWidth="1"/>
    <col min="2804" max="2804" width="12.42578125" style="208" bestFit="1" customWidth="1"/>
    <col min="2805" max="3053" width="10" style="208"/>
    <col min="3054" max="3054" width="21.5703125" style="208" bestFit="1" customWidth="1"/>
    <col min="3055" max="3055" width="10.28515625" style="208" bestFit="1" customWidth="1"/>
    <col min="3056" max="3056" width="13.7109375" style="208" bestFit="1" customWidth="1"/>
    <col min="3057" max="3057" width="10.28515625" style="208" bestFit="1" customWidth="1"/>
    <col min="3058" max="3058" width="13.7109375" style="208" bestFit="1" customWidth="1"/>
    <col min="3059" max="3059" width="10.140625" style="208" bestFit="1" customWidth="1"/>
    <col min="3060" max="3060" width="12.42578125" style="208" bestFit="1" customWidth="1"/>
    <col min="3061" max="3309" width="10" style="208"/>
    <col min="3310" max="3310" width="21.5703125" style="208" bestFit="1" customWidth="1"/>
    <col min="3311" max="3311" width="10.28515625" style="208" bestFit="1" customWidth="1"/>
    <col min="3312" max="3312" width="13.7109375" style="208" bestFit="1" customWidth="1"/>
    <col min="3313" max="3313" width="10.28515625" style="208" bestFit="1" customWidth="1"/>
    <col min="3314" max="3314" width="13.7109375" style="208" bestFit="1" customWidth="1"/>
    <col min="3315" max="3315" width="10.140625" style="208" bestFit="1" customWidth="1"/>
    <col min="3316" max="3316" width="12.42578125" style="208" bestFit="1" customWidth="1"/>
    <col min="3317" max="3565" width="10" style="208"/>
    <col min="3566" max="3566" width="21.5703125" style="208" bestFit="1" customWidth="1"/>
    <col min="3567" max="3567" width="10.28515625" style="208" bestFit="1" customWidth="1"/>
    <col min="3568" max="3568" width="13.7109375" style="208" bestFit="1" customWidth="1"/>
    <col min="3569" max="3569" width="10.28515625" style="208" bestFit="1" customWidth="1"/>
    <col min="3570" max="3570" width="13.7109375" style="208" bestFit="1" customWidth="1"/>
    <col min="3571" max="3571" width="10.140625" style="208" bestFit="1" customWidth="1"/>
    <col min="3572" max="3572" width="12.42578125" style="208" bestFit="1" customWidth="1"/>
    <col min="3573" max="3821" width="10" style="208"/>
    <col min="3822" max="3822" width="21.5703125" style="208" bestFit="1" customWidth="1"/>
    <col min="3823" max="3823" width="10.28515625" style="208" bestFit="1" customWidth="1"/>
    <col min="3824" max="3824" width="13.7109375" style="208" bestFit="1" customWidth="1"/>
    <col min="3825" max="3825" width="10.28515625" style="208" bestFit="1" customWidth="1"/>
    <col min="3826" max="3826" width="13.7109375" style="208" bestFit="1" customWidth="1"/>
    <col min="3827" max="3827" width="10.140625" style="208" bestFit="1" customWidth="1"/>
    <col min="3828" max="3828" width="12.42578125" style="208" bestFit="1" customWidth="1"/>
    <col min="3829" max="4077" width="10" style="208"/>
    <col min="4078" max="4078" width="21.5703125" style="208" bestFit="1" customWidth="1"/>
    <col min="4079" max="4079" width="10.28515625" style="208" bestFit="1" customWidth="1"/>
    <col min="4080" max="4080" width="13.7109375" style="208" bestFit="1" customWidth="1"/>
    <col min="4081" max="4081" width="10.28515625" style="208" bestFit="1" customWidth="1"/>
    <col min="4082" max="4082" width="13.7109375" style="208" bestFit="1" customWidth="1"/>
    <col min="4083" max="4083" width="10.140625" style="208" bestFit="1" customWidth="1"/>
    <col min="4084" max="4084" width="12.42578125" style="208" bestFit="1" customWidth="1"/>
    <col min="4085" max="4333" width="10" style="208"/>
    <col min="4334" max="4334" width="21.5703125" style="208" bestFit="1" customWidth="1"/>
    <col min="4335" max="4335" width="10.28515625" style="208" bestFit="1" customWidth="1"/>
    <col min="4336" max="4336" width="13.7109375" style="208" bestFit="1" customWidth="1"/>
    <col min="4337" max="4337" width="10.28515625" style="208" bestFit="1" customWidth="1"/>
    <col min="4338" max="4338" width="13.7109375" style="208" bestFit="1" customWidth="1"/>
    <col min="4339" max="4339" width="10.140625" style="208" bestFit="1" customWidth="1"/>
    <col min="4340" max="4340" width="12.42578125" style="208" bestFit="1" customWidth="1"/>
    <col min="4341" max="4589" width="10" style="208"/>
    <col min="4590" max="4590" width="21.5703125" style="208" bestFit="1" customWidth="1"/>
    <col min="4591" max="4591" width="10.28515625" style="208" bestFit="1" customWidth="1"/>
    <col min="4592" max="4592" width="13.7109375" style="208" bestFit="1" customWidth="1"/>
    <col min="4593" max="4593" width="10.28515625" style="208" bestFit="1" customWidth="1"/>
    <col min="4594" max="4594" width="13.7109375" style="208" bestFit="1" customWidth="1"/>
    <col min="4595" max="4595" width="10.140625" style="208" bestFit="1" customWidth="1"/>
    <col min="4596" max="4596" width="12.42578125" style="208" bestFit="1" customWidth="1"/>
    <col min="4597" max="4845" width="10" style="208"/>
    <col min="4846" max="4846" width="21.5703125" style="208" bestFit="1" customWidth="1"/>
    <col min="4847" max="4847" width="10.28515625" style="208" bestFit="1" customWidth="1"/>
    <col min="4848" max="4848" width="13.7109375" style="208" bestFit="1" customWidth="1"/>
    <col min="4849" max="4849" width="10.28515625" style="208" bestFit="1" customWidth="1"/>
    <col min="4850" max="4850" width="13.7109375" style="208" bestFit="1" customWidth="1"/>
    <col min="4851" max="4851" width="10.140625" style="208" bestFit="1" customWidth="1"/>
    <col min="4852" max="4852" width="12.42578125" style="208" bestFit="1" customWidth="1"/>
    <col min="4853" max="5101" width="10" style="208"/>
    <col min="5102" max="5102" width="21.5703125" style="208" bestFit="1" customWidth="1"/>
    <col min="5103" max="5103" width="10.28515625" style="208" bestFit="1" customWidth="1"/>
    <col min="5104" max="5104" width="13.7109375" style="208" bestFit="1" customWidth="1"/>
    <col min="5105" max="5105" width="10.28515625" style="208" bestFit="1" customWidth="1"/>
    <col min="5106" max="5106" width="13.7109375" style="208" bestFit="1" customWidth="1"/>
    <col min="5107" max="5107" width="10.140625" style="208" bestFit="1" customWidth="1"/>
    <col min="5108" max="5108" width="12.42578125" style="208" bestFit="1" customWidth="1"/>
    <col min="5109" max="5357" width="10" style="208"/>
    <col min="5358" max="5358" width="21.5703125" style="208" bestFit="1" customWidth="1"/>
    <col min="5359" max="5359" width="10.28515625" style="208" bestFit="1" customWidth="1"/>
    <col min="5360" max="5360" width="13.7109375" style="208" bestFit="1" customWidth="1"/>
    <col min="5361" max="5361" width="10.28515625" style="208" bestFit="1" customWidth="1"/>
    <col min="5362" max="5362" width="13.7109375" style="208" bestFit="1" customWidth="1"/>
    <col min="5363" max="5363" width="10.140625" style="208" bestFit="1" customWidth="1"/>
    <col min="5364" max="5364" width="12.42578125" style="208" bestFit="1" customWidth="1"/>
    <col min="5365" max="5613" width="10" style="208"/>
    <col min="5614" max="5614" width="21.5703125" style="208" bestFit="1" customWidth="1"/>
    <col min="5615" max="5615" width="10.28515625" style="208" bestFit="1" customWidth="1"/>
    <col min="5616" max="5616" width="13.7109375" style="208" bestFit="1" customWidth="1"/>
    <col min="5617" max="5617" width="10.28515625" style="208" bestFit="1" customWidth="1"/>
    <col min="5618" max="5618" width="13.7109375" style="208" bestFit="1" customWidth="1"/>
    <col min="5619" max="5619" width="10.140625" style="208" bestFit="1" customWidth="1"/>
    <col min="5620" max="5620" width="12.42578125" style="208" bestFit="1" customWidth="1"/>
    <col min="5621" max="5869" width="10" style="208"/>
    <col min="5870" max="5870" width="21.5703125" style="208" bestFit="1" customWidth="1"/>
    <col min="5871" max="5871" width="10.28515625" style="208" bestFit="1" customWidth="1"/>
    <col min="5872" max="5872" width="13.7109375" style="208" bestFit="1" customWidth="1"/>
    <col min="5873" max="5873" width="10.28515625" style="208" bestFit="1" customWidth="1"/>
    <col min="5874" max="5874" width="13.7109375" style="208" bestFit="1" customWidth="1"/>
    <col min="5875" max="5875" width="10.140625" style="208" bestFit="1" customWidth="1"/>
    <col min="5876" max="5876" width="12.42578125" style="208" bestFit="1" customWidth="1"/>
    <col min="5877" max="6125" width="10" style="208"/>
    <col min="6126" max="6126" width="21.5703125" style="208" bestFit="1" customWidth="1"/>
    <col min="6127" max="6127" width="10.28515625" style="208" bestFit="1" customWidth="1"/>
    <col min="6128" max="6128" width="13.7109375" style="208" bestFit="1" customWidth="1"/>
    <col min="6129" max="6129" width="10.28515625" style="208" bestFit="1" customWidth="1"/>
    <col min="6130" max="6130" width="13.7109375" style="208" bestFit="1" customWidth="1"/>
    <col min="6131" max="6131" width="10.140625" style="208" bestFit="1" customWidth="1"/>
    <col min="6132" max="6132" width="12.42578125" style="208" bestFit="1" customWidth="1"/>
    <col min="6133" max="6381" width="10" style="208"/>
    <col min="6382" max="6382" width="21.5703125" style="208" bestFit="1" customWidth="1"/>
    <col min="6383" max="6383" width="10.28515625" style="208" bestFit="1" customWidth="1"/>
    <col min="6384" max="6384" width="13.7109375" style="208" bestFit="1" customWidth="1"/>
    <col min="6385" max="6385" width="10.28515625" style="208" bestFit="1" customWidth="1"/>
    <col min="6386" max="6386" width="13.7109375" style="208" bestFit="1" customWidth="1"/>
    <col min="6387" max="6387" width="10.140625" style="208" bestFit="1" customWidth="1"/>
    <col min="6388" max="6388" width="12.42578125" style="208" bestFit="1" customWidth="1"/>
    <col min="6389" max="6637" width="10" style="208"/>
    <col min="6638" max="6638" width="21.5703125" style="208" bestFit="1" customWidth="1"/>
    <col min="6639" max="6639" width="10.28515625" style="208" bestFit="1" customWidth="1"/>
    <col min="6640" max="6640" width="13.7109375" style="208" bestFit="1" customWidth="1"/>
    <col min="6641" max="6641" width="10.28515625" style="208" bestFit="1" customWidth="1"/>
    <col min="6642" max="6642" width="13.7109375" style="208" bestFit="1" customWidth="1"/>
    <col min="6643" max="6643" width="10.140625" style="208" bestFit="1" customWidth="1"/>
    <col min="6644" max="6644" width="12.42578125" style="208" bestFit="1" customWidth="1"/>
    <col min="6645" max="6893" width="10" style="208"/>
    <col min="6894" max="6894" width="21.5703125" style="208" bestFit="1" customWidth="1"/>
    <col min="6895" max="6895" width="10.28515625" style="208" bestFit="1" customWidth="1"/>
    <col min="6896" max="6896" width="13.7109375" style="208" bestFit="1" customWidth="1"/>
    <col min="6897" max="6897" width="10.28515625" style="208" bestFit="1" customWidth="1"/>
    <col min="6898" max="6898" width="13.7109375" style="208" bestFit="1" customWidth="1"/>
    <col min="6899" max="6899" width="10.140625" style="208" bestFit="1" customWidth="1"/>
    <col min="6900" max="6900" width="12.42578125" style="208" bestFit="1" customWidth="1"/>
    <col min="6901" max="7149" width="10" style="208"/>
    <col min="7150" max="7150" width="21.5703125" style="208" bestFit="1" customWidth="1"/>
    <col min="7151" max="7151" width="10.28515625" style="208" bestFit="1" customWidth="1"/>
    <col min="7152" max="7152" width="13.7109375" style="208" bestFit="1" customWidth="1"/>
    <col min="7153" max="7153" width="10.28515625" style="208" bestFit="1" customWidth="1"/>
    <col min="7154" max="7154" width="13.7109375" style="208" bestFit="1" customWidth="1"/>
    <col min="7155" max="7155" width="10.140625" style="208" bestFit="1" customWidth="1"/>
    <col min="7156" max="7156" width="12.42578125" style="208" bestFit="1" customWidth="1"/>
    <col min="7157" max="7405" width="10" style="208"/>
    <col min="7406" max="7406" width="21.5703125" style="208" bestFit="1" customWidth="1"/>
    <col min="7407" max="7407" width="10.28515625" style="208" bestFit="1" customWidth="1"/>
    <col min="7408" max="7408" width="13.7109375" style="208" bestFit="1" customWidth="1"/>
    <col min="7409" max="7409" width="10.28515625" style="208" bestFit="1" customWidth="1"/>
    <col min="7410" max="7410" width="13.7109375" style="208" bestFit="1" customWidth="1"/>
    <col min="7411" max="7411" width="10.140625" style="208" bestFit="1" customWidth="1"/>
    <col min="7412" max="7412" width="12.42578125" style="208" bestFit="1" customWidth="1"/>
    <col min="7413" max="7661" width="10" style="208"/>
    <col min="7662" max="7662" width="21.5703125" style="208" bestFit="1" customWidth="1"/>
    <col min="7663" max="7663" width="10.28515625" style="208" bestFit="1" customWidth="1"/>
    <col min="7664" max="7664" width="13.7109375" style="208" bestFit="1" customWidth="1"/>
    <col min="7665" max="7665" width="10.28515625" style="208" bestFit="1" customWidth="1"/>
    <col min="7666" max="7666" width="13.7109375" style="208" bestFit="1" customWidth="1"/>
    <col min="7667" max="7667" width="10.140625" style="208" bestFit="1" customWidth="1"/>
    <col min="7668" max="7668" width="12.42578125" style="208" bestFit="1" customWidth="1"/>
    <col min="7669" max="7917" width="10" style="208"/>
    <col min="7918" max="7918" width="21.5703125" style="208" bestFit="1" customWidth="1"/>
    <col min="7919" max="7919" width="10.28515625" style="208" bestFit="1" customWidth="1"/>
    <col min="7920" max="7920" width="13.7109375" style="208" bestFit="1" customWidth="1"/>
    <col min="7921" max="7921" width="10.28515625" style="208" bestFit="1" customWidth="1"/>
    <col min="7922" max="7922" width="13.7109375" style="208" bestFit="1" customWidth="1"/>
    <col min="7923" max="7923" width="10.140625" style="208" bestFit="1" customWidth="1"/>
    <col min="7924" max="7924" width="12.42578125" style="208" bestFit="1" customWidth="1"/>
    <col min="7925" max="8173" width="10" style="208"/>
    <col min="8174" max="8174" width="21.5703125" style="208" bestFit="1" customWidth="1"/>
    <col min="8175" max="8175" width="10.28515625" style="208" bestFit="1" customWidth="1"/>
    <col min="8176" max="8176" width="13.7109375" style="208" bestFit="1" customWidth="1"/>
    <col min="8177" max="8177" width="10.28515625" style="208" bestFit="1" customWidth="1"/>
    <col min="8178" max="8178" width="13.7109375" style="208" bestFit="1" customWidth="1"/>
    <col min="8179" max="8179" width="10.140625" style="208" bestFit="1" customWidth="1"/>
    <col min="8180" max="8180" width="12.42578125" style="208" bestFit="1" customWidth="1"/>
    <col min="8181" max="8429" width="10" style="208"/>
    <col min="8430" max="8430" width="21.5703125" style="208" bestFit="1" customWidth="1"/>
    <col min="8431" max="8431" width="10.28515625" style="208" bestFit="1" customWidth="1"/>
    <col min="8432" max="8432" width="13.7109375" style="208" bestFit="1" customWidth="1"/>
    <col min="8433" max="8433" width="10.28515625" style="208" bestFit="1" customWidth="1"/>
    <col min="8434" max="8434" width="13.7109375" style="208" bestFit="1" customWidth="1"/>
    <col min="8435" max="8435" width="10.140625" style="208" bestFit="1" customWidth="1"/>
    <col min="8436" max="8436" width="12.42578125" style="208" bestFit="1" customWidth="1"/>
    <col min="8437" max="8685" width="10" style="208"/>
    <col min="8686" max="8686" width="21.5703125" style="208" bestFit="1" customWidth="1"/>
    <col min="8687" max="8687" width="10.28515625" style="208" bestFit="1" customWidth="1"/>
    <col min="8688" max="8688" width="13.7109375" style="208" bestFit="1" customWidth="1"/>
    <col min="8689" max="8689" width="10.28515625" style="208" bestFit="1" customWidth="1"/>
    <col min="8690" max="8690" width="13.7109375" style="208" bestFit="1" customWidth="1"/>
    <col min="8691" max="8691" width="10.140625" style="208" bestFit="1" customWidth="1"/>
    <col min="8692" max="8692" width="12.42578125" style="208" bestFit="1" customWidth="1"/>
    <col min="8693" max="8941" width="10" style="208"/>
    <col min="8942" max="8942" width="21.5703125" style="208" bestFit="1" customWidth="1"/>
    <col min="8943" max="8943" width="10.28515625" style="208" bestFit="1" customWidth="1"/>
    <col min="8944" max="8944" width="13.7109375" style="208" bestFit="1" customWidth="1"/>
    <col min="8945" max="8945" width="10.28515625" style="208" bestFit="1" customWidth="1"/>
    <col min="8946" max="8946" width="13.7109375" style="208" bestFit="1" customWidth="1"/>
    <col min="8947" max="8947" width="10.140625" style="208" bestFit="1" customWidth="1"/>
    <col min="8948" max="8948" width="12.42578125" style="208" bestFit="1" customWidth="1"/>
    <col min="8949" max="9197" width="10" style="208"/>
    <col min="9198" max="9198" width="21.5703125" style="208" bestFit="1" customWidth="1"/>
    <col min="9199" max="9199" width="10.28515625" style="208" bestFit="1" customWidth="1"/>
    <col min="9200" max="9200" width="13.7109375" style="208" bestFit="1" customWidth="1"/>
    <col min="9201" max="9201" width="10.28515625" style="208" bestFit="1" customWidth="1"/>
    <col min="9202" max="9202" width="13.7109375" style="208" bestFit="1" customWidth="1"/>
    <col min="9203" max="9203" width="10.140625" style="208" bestFit="1" customWidth="1"/>
    <col min="9204" max="9204" width="12.42578125" style="208" bestFit="1" customWidth="1"/>
    <col min="9205" max="9453" width="10" style="208"/>
    <col min="9454" max="9454" width="21.5703125" style="208" bestFit="1" customWidth="1"/>
    <col min="9455" max="9455" width="10.28515625" style="208" bestFit="1" customWidth="1"/>
    <col min="9456" max="9456" width="13.7109375" style="208" bestFit="1" customWidth="1"/>
    <col min="9457" max="9457" width="10.28515625" style="208" bestFit="1" customWidth="1"/>
    <col min="9458" max="9458" width="13.7109375" style="208" bestFit="1" customWidth="1"/>
    <col min="9459" max="9459" width="10.140625" style="208" bestFit="1" customWidth="1"/>
    <col min="9460" max="9460" width="12.42578125" style="208" bestFit="1" customWidth="1"/>
    <col min="9461" max="9709" width="10" style="208"/>
    <col min="9710" max="9710" width="21.5703125" style="208" bestFit="1" customWidth="1"/>
    <col min="9711" max="9711" width="10.28515625" style="208" bestFit="1" customWidth="1"/>
    <col min="9712" max="9712" width="13.7109375" style="208" bestFit="1" customWidth="1"/>
    <col min="9713" max="9713" width="10.28515625" style="208" bestFit="1" customWidth="1"/>
    <col min="9714" max="9714" width="13.7109375" style="208" bestFit="1" customWidth="1"/>
    <col min="9715" max="9715" width="10.140625" style="208" bestFit="1" customWidth="1"/>
    <col min="9716" max="9716" width="12.42578125" style="208" bestFit="1" customWidth="1"/>
    <col min="9717" max="9965" width="10" style="208"/>
    <col min="9966" max="9966" width="21.5703125" style="208" bestFit="1" customWidth="1"/>
    <col min="9967" max="9967" width="10.28515625" style="208" bestFit="1" customWidth="1"/>
    <col min="9968" max="9968" width="13.7109375" style="208" bestFit="1" customWidth="1"/>
    <col min="9969" max="9969" width="10.28515625" style="208" bestFit="1" customWidth="1"/>
    <col min="9970" max="9970" width="13.7109375" style="208" bestFit="1" customWidth="1"/>
    <col min="9971" max="9971" width="10.140625" style="208" bestFit="1" customWidth="1"/>
    <col min="9972" max="9972" width="12.42578125" style="208" bestFit="1" customWidth="1"/>
    <col min="9973" max="10221" width="10" style="208"/>
    <col min="10222" max="10222" width="21.5703125" style="208" bestFit="1" customWidth="1"/>
    <col min="10223" max="10223" width="10.28515625" style="208" bestFit="1" customWidth="1"/>
    <col min="10224" max="10224" width="13.7109375" style="208" bestFit="1" customWidth="1"/>
    <col min="10225" max="10225" width="10.28515625" style="208" bestFit="1" customWidth="1"/>
    <col min="10226" max="10226" width="13.7109375" style="208" bestFit="1" customWidth="1"/>
    <col min="10227" max="10227" width="10.140625" style="208" bestFit="1" customWidth="1"/>
    <col min="10228" max="10228" width="12.42578125" style="208" bestFit="1" customWidth="1"/>
    <col min="10229" max="10477" width="10" style="208"/>
    <col min="10478" max="10478" width="21.5703125" style="208" bestFit="1" customWidth="1"/>
    <col min="10479" max="10479" width="10.28515625" style="208" bestFit="1" customWidth="1"/>
    <col min="10480" max="10480" width="13.7109375" style="208" bestFit="1" customWidth="1"/>
    <col min="10481" max="10481" width="10.28515625" style="208" bestFit="1" customWidth="1"/>
    <col min="10482" max="10482" width="13.7109375" style="208" bestFit="1" customWidth="1"/>
    <col min="10483" max="10483" width="10.140625" style="208" bestFit="1" customWidth="1"/>
    <col min="10484" max="10484" width="12.42578125" style="208" bestFit="1" customWidth="1"/>
    <col min="10485" max="10733" width="10" style="208"/>
    <col min="10734" max="10734" width="21.5703125" style="208" bestFit="1" customWidth="1"/>
    <col min="10735" max="10735" width="10.28515625" style="208" bestFit="1" customWidth="1"/>
    <col min="10736" max="10736" width="13.7109375" style="208" bestFit="1" customWidth="1"/>
    <col min="10737" max="10737" width="10.28515625" style="208" bestFit="1" customWidth="1"/>
    <col min="10738" max="10738" width="13.7109375" style="208" bestFit="1" customWidth="1"/>
    <col min="10739" max="10739" width="10.140625" style="208" bestFit="1" customWidth="1"/>
    <col min="10740" max="10740" width="12.42578125" style="208" bestFit="1" customWidth="1"/>
    <col min="10741" max="10989" width="10" style="208"/>
    <col min="10990" max="10990" width="21.5703125" style="208" bestFit="1" customWidth="1"/>
    <col min="10991" max="10991" width="10.28515625" style="208" bestFit="1" customWidth="1"/>
    <col min="10992" max="10992" width="13.7109375" style="208" bestFit="1" customWidth="1"/>
    <col min="10993" max="10993" width="10.28515625" style="208" bestFit="1" customWidth="1"/>
    <col min="10994" max="10994" width="13.7109375" style="208" bestFit="1" customWidth="1"/>
    <col min="10995" max="10995" width="10.140625" style="208" bestFit="1" customWidth="1"/>
    <col min="10996" max="10996" width="12.42578125" style="208" bestFit="1" customWidth="1"/>
    <col min="10997" max="11245" width="10" style="208"/>
    <col min="11246" max="11246" width="21.5703125" style="208" bestFit="1" customWidth="1"/>
    <col min="11247" max="11247" width="10.28515625" style="208" bestFit="1" customWidth="1"/>
    <col min="11248" max="11248" width="13.7109375" style="208" bestFit="1" customWidth="1"/>
    <col min="11249" max="11249" width="10.28515625" style="208" bestFit="1" customWidth="1"/>
    <col min="11250" max="11250" width="13.7109375" style="208" bestFit="1" customWidth="1"/>
    <col min="11251" max="11251" width="10.140625" style="208" bestFit="1" customWidth="1"/>
    <col min="11252" max="11252" width="12.42578125" style="208" bestFit="1" customWidth="1"/>
    <col min="11253" max="11501" width="10" style="208"/>
    <col min="11502" max="11502" width="21.5703125" style="208" bestFit="1" customWidth="1"/>
    <col min="11503" max="11503" width="10.28515625" style="208" bestFit="1" customWidth="1"/>
    <col min="11504" max="11504" width="13.7109375" style="208" bestFit="1" customWidth="1"/>
    <col min="11505" max="11505" width="10.28515625" style="208" bestFit="1" customWidth="1"/>
    <col min="11506" max="11506" width="13.7109375" style="208" bestFit="1" customWidth="1"/>
    <col min="11507" max="11507" width="10.140625" style="208" bestFit="1" customWidth="1"/>
    <col min="11508" max="11508" width="12.42578125" style="208" bestFit="1" customWidth="1"/>
    <col min="11509" max="11757" width="10" style="208"/>
    <col min="11758" max="11758" width="21.5703125" style="208" bestFit="1" customWidth="1"/>
    <col min="11759" max="11759" width="10.28515625" style="208" bestFit="1" customWidth="1"/>
    <col min="11760" max="11760" width="13.7109375" style="208" bestFit="1" customWidth="1"/>
    <col min="11761" max="11761" width="10.28515625" style="208" bestFit="1" customWidth="1"/>
    <col min="11762" max="11762" width="13.7109375" style="208" bestFit="1" customWidth="1"/>
    <col min="11763" max="11763" width="10.140625" style="208" bestFit="1" customWidth="1"/>
    <col min="11764" max="11764" width="12.42578125" style="208" bestFit="1" customWidth="1"/>
    <col min="11765" max="12013" width="10" style="208"/>
    <col min="12014" max="12014" width="21.5703125" style="208" bestFit="1" customWidth="1"/>
    <col min="12015" max="12015" width="10.28515625" style="208" bestFit="1" customWidth="1"/>
    <col min="12016" max="12016" width="13.7109375" style="208" bestFit="1" customWidth="1"/>
    <col min="12017" max="12017" width="10.28515625" style="208" bestFit="1" customWidth="1"/>
    <col min="12018" max="12018" width="13.7109375" style="208" bestFit="1" customWidth="1"/>
    <col min="12019" max="12019" width="10.140625" style="208" bestFit="1" customWidth="1"/>
    <col min="12020" max="12020" width="12.42578125" style="208" bestFit="1" customWidth="1"/>
    <col min="12021" max="12269" width="10" style="208"/>
    <col min="12270" max="12270" width="21.5703125" style="208" bestFit="1" customWidth="1"/>
    <col min="12271" max="12271" width="10.28515625" style="208" bestFit="1" customWidth="1"/>
    <col min="12272" max="12272" width="13.7109375" style="208" bestFit="1" customWidth="1"/>
    <col min="12273" max="12273" width="10.28515625" style="208" bestFit="1" customWidth="1"/>
    <col min="12274" max="12274" width="13.7109375" style="208" bestFit="1" customWidth="1"/>
    <col min="12275" max="12275" width="10.140625" style="208" bestFit="1" customWidth="1"/>
    <col min="12276" max="12276" width="12.42578125" style="208" bestFit="1" customWidth="1"/>
    <col min="12277" max="12525" width="10" style="208"/>
    <col min="12526" max="12526" width="21.5703125" style="208" bestFit="1" customWidth="1"/>
    <col min="12527" max="12527" width="10.28515625" style="208" bestFit="1" customWidth="1"/>
    <col min="12528" max="12528" width="13.7109375" style="208" bestFit="1" customWidth="1"/>
    <col min="12529" max="12529" width="10.28515625" style="208" bestFit="1" customWidth="1"/>
    <col min="12530" max="12530" width="13.7109375" style="208" bestFit="1" customWidth="1"/>
    <col min="12531" max="12531" width="10.140625" style="208" bestFit="1" customWidth="1"/>
    <col min="12532" max="12532" width="12.42578125" style="208" bestFit="1" customWidth="1"/>
    <col min="12533" max="12781" width="10" style="208"/>
    <col min="12782" max="12782" width="21.5703125" style="208" bestFit="1" customWidth="1"/>
    <col min="12783" max="12783" width="10.28515625" style="208" bestFit="1" customWidth="1"/>
    <col min="12784" max="12784" width="13.7109375" style="208" bestFit="1" customWidth="1"/>
    <col min="12785" max="12785" width="10.28515625" style="208" bestFit="1" customWidth="1"/>
    <col min="12786" max="12786" width="13.7109375" style="208" bestFit="1" customWidth="1"/>
    <col min="12787" max="12787" width="10.140625" style="208" bestFit="1" customWidth="1"/>
    <col min="12788" max="12788" width="12.42578125" style="208" bestFit="1" customWidth="1"/>
    <col min="12789" max="13037" width="10" style="208"/>
    <col min="13038" max="13038" width="21.5703125" style="208" bestFit="1" customWidth="1"/>
    <col min="13039" max="13039" width="10.28515625" style="208" bestFit="1" customWidth="1"/>
    <col min="13040" max="13040" width="13.7109375" style="208" bestFit="1" customWidth="1"/>
    <col min="13041" max="13041" width="10.28515625" style="208" bestFit="1" customWidth="1"/>
    <col min="13042" max="13042" width="13.7109375" style="208" bestFit="1" customWidth="1"/>
    <col min="13043" max="13043" width="10.140625" style="208" bestFit="1" customWidth="1"/>
    <col min="13044" max="13044" width="12.42578125" style="208" bestFit="1" customWidth="1"/>
    <col min="13045" max="13293" width="10" style="208"/>
    <col min="13294" max="13294" width="21.5703125" style="208" bestFit="1" customWidth="1"/>
    <col min="13295" max="13295" width="10.28515625" style="208" bestFit="1" customWidth="1"/>
    <col min="13296" max="13296" width="13.7109375" style="208" bestFit="1" customWidth="1"/>
    <col min="13297" max="13297" width="10.28515625" style="208" bestFit="1" customWidth="1"/>
    <col min="13298" max="13298" width="13.7109375" style="208" bestFit="1" customWidth="1"/>
    <col min="13299" max="13299" width="10.140625" style="208" bestFit="1" customWidth="1"/>
    <col min="13300" max="13300" width="12.42578125" style="208" bestFit="1" customWidth="1"/>
    <col min="13301" max="13549" width="10" style="208"/>
    <col min="13550" max="13550" width="21.5703125" style="208" bestFit="1" customWidth="1"/>
    <col min="13551" max="13551" width="10.28515625" style="208" bestFit="1" customWidth="1"/>
    <col min="13552" max="13552" width="13.7109375" style="208" bestFit="1" customWidth="1"/>
    <col min="13553" max="13553" width="10.28515625" style="208" bestFit="1" customWidth="1"/>
    <col min="13554" max="13554" width="13.7109375" style="208" bestFit="1" customWidth="1"/>
    <col min="13555" max="13555" width="10.140625" style="208" bestFit="1" customWidth="1"/>
    <col min="13556" max="13556" width="12.42578125" style="208" bestFit="1" customWidth="1"/>
    <col min="13557" max="13805" width="10" style="208"/>
    <col min="13806" max="13806" width="21.5703125" style="208" bestFit="1" customWidth="1"/>
    <col min="13807" max="13807" width="10.28515625" style="208" bestFit="1" customWidth="1"/>
    <col min="13808" max="13808" width="13.7109375" style="208" bestFit="1" customWidth="1"/>
    <col min="13809" max="13809" width="10.28515625" style="208" bestFit="1" customWidth="1"/>
    <col min="13810" max="13810" width="13.7109375" style="208" bestFit="1" customWidth="1"/>
    <col min="13811" max="13811" width="10.140625" style="208" bestFit="1" customWidth="1"/>
    <col min="13812" max="13812" width="12.42578125" style="208" bestFit="1" customWidth="1"/>
    <col min="13813" max="14061" width="10" style="208"/>
    <col min="14062" max="14062" width="21.5703125" style="208" bestFit="1" customWidth="1"/>
    <col min="14063" max="14063" width="10.28515625" style="208" bestFit="1" customWidth="1"/>
    <col min="14064" max="14064" width="13.7109375" style="208" bestFit="1" customWidth="1"/>
    <col min="14065" max="14065" width="10.28515625" style="208" bestFit="1" customWidth="1"/>
    <col min="14066" max="14066" width="13.7109375" style="208" bestFit="1" customWidth="1"/>
    <col min="14067" max="14067" width="10.140625" style="208" bestFit="1" customWidth="1"/>
    <col min="14068" max="14068" width="12.42578125" style="208" bestFit="1" customWidth="1"/>
    <col min="14069" max="14317" width="10" style="208"/>
    <col min="14318" max="14318" width="21.5703125" style="208" bestFit="1" customWidth="1"/>
    <col min="14319" max="14319" width="10.28515625" style="208" bestFit="1" customWidth="1"/>
    <col min="14320" max="14320" width="13.7109375" style="208" bestFit="1" customWidth="1"/>
    <col min="14321" max="14321" width="10.28515625" style="208" bestFit="1" customWidth="1"/>
    <col min="14322" max="14322" width="13.7109375" style="208" bestFit="1" customWidth="1"/>
    <col min="14323" max="14323" width="10.140625" style="208" bestFit="1" customWidth="1"/>
    <col min="14324" max="14324" width="12.42578125" style="208" bestFit="1" customWidth="1"/>
    <col min="14325" max="14573" width="10" style="208"/>
    <col min="14574" max="14574" width="21.5703125" style="208" bestFit="1" customWidth="1"/>
    <col min="14575" max="14575" width="10.28515625" style="208" bestFit="1" customWidth="1"/>
    <col min="14576" max="14576" width="13.7109375" style="208" bestFit="1" customWidth="1"/>
    <col min="14577" max="14577" width="10.28515625" style="208" bestFit="1" customWidth="1"/>
    <col min="14578" max="14578" width="13.7109375" style="208" bestFit="1" customWidth="1"/>
    <col min="14579" max="14579" width="10.140625" style="208" bestFit="1" customWidth="1"/>
    <col min="14580" max="14580" width="12.42578125" style="208" bestFit="1" customWidth="1"/>
    <col min="14581" max="14829" width="10" style="208"/>
    <col min="14830" max="14830" width="21.5703125" style="208" bestFit="1" customWidth="1"/>
    <col min="14831" max="14831" width="10.28515625" style="208" bestFit="1" customWidth="1"/>
    <col min="14832" max="14832" width="13.7109375" style="208" bestFit="1" customWidth="1"/>
    <col min="14833" max="14833" width="10.28515625" style="208" bestFit="1" customWidth="1"/>
    <col min="14834" max="14834" width="13.7109375" style="208" bestFit="1" customWidth="1"/>
    <col min="14835" max="14835" width="10.140625" style="208" bestFit="1" customWidth="1"/>
    <col min="14836" max="14836" width="12.42578125" style="208" bestFit="1" customWidth="1"/>
    <col min="14837" max="15085" width="10" style="208"/>
    <col min="15086" max="15086" width="21.5703125" style="208" bestFit="1" customWidth="1"/>
    <col min="15087" max="15087" width="10.28515625" style="208" bestFit="1" customWidth="1"/>
    <col min="15088" max="15088" width="13.7109375" style="208" bestFit="1" customWidth="1"/>
    <col min="15089" max="15089" width="10.28515625" style="208" bestFit="1" customWidth="1"/>
    <col min="15090" max="15090" width="13.7109375" style="208" bestFit="1" customWidth="1"/>
    <col min="15091" max="15091" width="10.140625" style="208" bestFit="1" customWidth="1"/>
    <col min="15092" max="15092" width="12.42578125" style="208" bestFit="1" customWidth="1"/>
    <col min="15093" max="15341" width="10" style="208"/>
    <col min="15342" max="15342" width="21.5703125" style="208" bestFit="1" customWidth="1"/>
    <col min="15343" max="15343" width="10.28515625" style="208" bestFit="1" customWidth="1"/>
    <col min="15344" max="15344" width="13.7109375" style="208" bestFit="1" customWidth="1"/>
    <col min="15345" max="15345" width="10.28515625" style="208" bestFit="1" customWidth="1"/>
    <col min="15346" max="15346" width="13.7109375" style="208" bestFit="1" customWidth="1"/>
    <col min="15347" max="15347" width="10.140625" style="208" bestFit="1" customWidth="1"/>
    <col min="15348" max="15348" width="12.42578125" style="208" bestFit="1" customWidth="1"/>
    <col min="15349" max="15597" width="10" style="208"/>
    <col min="15598" max="15598" width="21.5703125" style="208" bestFit="1" customWidth="1"/>
    <col min="15599" max="15599" width="10.28515625" style="208" bestFit="1" customWidth="1"/>
    <col min="15600" max="15600" width="13.7109375" style="208" bestFit="1" customWidth="1"/>
    <col min="15601" max="15601" width="10.28515625" style="208" bestFit="1" customWidth="1"/>
    <col min="15602" max="15602" width="13.7109375" style="208" bestFit="1" customWidth="1"/>
    <col min="15603" max="15603" width="10.140625" style="208" bestFit="1" customWidth="1"/>
    <col min="15604" max="15604" width="12.42578125" style="208" bestFit="1" customWidth="1"/>
    <col min="15605" max="15853" width="10" style="208"/>
    <col min="15854" max="15854" width="21.5703125" style="208" bestFit="1" customWidth="1"/>
    <col min="15855" max="15855" width="10.28515625" style="208" bestFit="1" customWidth="1"/>
    <col min="15856" max="15856" width="13.7109375" style="208" bestFit="1" customWidth="1"/>
    <col min="15857" max="15857" width="10.28515625" style="208" bestFit="1" customWidth="1"/>
    <col min="15858" max="15858" width="13.7109375" style="208" bestFit="1" customWidth="1"/>
    <col min="15859" max="15859" width="10.140625" style="208" bestFit="1" customWidth="1"/>
    <col min="15860" max="15860" width="12.42578125" style="208" bestFit="1" customWidth="1"/>
    <col min="15861" max="16109" width="10" style="208"/>
    <col min="16110" max="16110" width="21.5703125" style="208" bestFit="1" customWidth="1"/>
    <col min="16111" max="16111" width="10.28515625" style="208" bestFit="1" customWidth="1"/>
    <col min="16112" max="16112" width="13.7109375" style="208" bestFit="1" customWidth="1"/>
    <col min="16113" max="16113" width="10.28515625" style="208" bestFit="1" customWidth="1"/>
    <col min="16114" max="16114" width="13.7109375" style="208" bestFit="1" customWidth="1"/>
    <col min="16115" max="16115" width="10.140625" style="208" bestFit="1" customWidth="1"/>
    <col min="16116" max="16116" width="12.42578125" style="208" bestFit="1" customWidth="1"/>
    <col min="16117" max="16384" width="10" style="208"/>
  </cols>
  <sheetData>
    <row r="1" spans="1:7" ht="15">
      <c r="A1" s="1008" t="s">
        <v>125</v>
      </c>
      <c r="B1" s="1009"/>
      <c r="C1" s="1009"/>
      <c r="D1" s="1009"/>
      <c r="E1" s="1009"/>
      <c r="F1" s="1009"/>
      <c r="G1" s="1009"/>
    </row>
    <row r="2" spans="1:7" ht="15">
      <c r="A2" s="1008" t="s">
        <v>126</v>
      </c>
      <c r="B2" s="1009"/>
      <c r="C2" s="1009"/>
      <c r="D2" s="1009"/>
      <c r="E2" s="1009"/>
      <c r="F2" s="1009"/>
      <c r="G2" s="1009"/>
    </row>
    <row r="3" spans="1:7" ht="15">
      <c r="A3" s="1008" t="s">
        <v>127</v>
      </c>
      <c r="B3" s="1009"/>
      <c r="C3" s="1009"/>
      <c r="D3" s="1009"/>
      <c r="E3" s="1009"/>
      <c r="F3" s="1009"/>
      <c r="G3" s="1009"/>
    </row>
    <row r="4" spans="1:7" ht="15">
      <c r="A4" s="1008" t="s">
        <v>69</v>
      </c>
      <c r="B4" s="1009"/>
      <c r="C4" s="1009"/>
      <c r="D4" s="1009"/>
      <c r="E4" s="1009"/>
      <c r="F4" s="1009"/>
      <c r="G4" s="1009"/>
    </row>
    <row r="5" spans="1:7" ht="14.25">
      <c r="A5" s="178"/>
      <c r="B5" s="178"/>
      <c r="C5" s="178"/>
      <c r="D5" s="178"/>
      <c r="E5" s="178"/>
      <c r="F5" s="178"/>
      <c r="G5" s="178"/>
    </row>
    <row r="6" spans="1:7" ht="15">
      <c r="A6" s="1008" t="s">
        <v>124</v>
      </c>
      <c r="B6" s="1009"/>
      <c r="C6" s="1009"/>
      <c r="D6" s="1009"/>
      <c r="E6" s="1009"/>
      <c r="F6" s="1009"/>
      <c r="G6" s="1009"/>
    </row>
    <row r="7" spans="1:7" ht="14.25">
      <c r="A7" s="179"/>
      <c r="B7" s="178"/>
      <c r="C7" s="178"/>
      <c r="D7" s="178"/>
      <c r="E7" s="178"/>
      <c r="F7" s="178"/>
      <c r="G7" s="178"/>
    </row>
    <row r="8" spans="1:7" ht="15">
      <c r="A8" s="180"/>
      <c r="B8" s="1004" t="s">
        <v>36</v>
      </c>
      <c r="C8" s="1005"/>
      <c r="D8" s="1004" t="s">
        <v>128</v>
      </c>
      <c r="E8" s="1005"/>
      <c r="F8" s="1006" t="s">
        <v>129</v>
      </c>
      <c r="G8" s="1007"/>
    </row>
    <row r="9" spans="1:7" ht="15">
      <c r="A9" s="181" t="s">
        <v>72</v>
      </c>
      <c r="B9" s="182" t="s">
        <v>130</v>
      </c>
      <c r="C9" s="183" t="s">
        <v>79</v>
      </c>
      <c r="D9" s="182" t="s">
        <v>130</v>
      </c>
      <c r="E9" s="183" t="s">
        <v>79</v>
      </c>
      <c r="F9" s="184" t="s">
        <v>130</v>
      </c>
      <c r="G9" s="185" t="s">
        <v>79</v>
      </c>
    </row>
    <row r="10" spans="1:7" ht="15">
      <c r="A10" s="213" t="s">
        <v>120</v>
      </c>
      <c r="B10" s="214">
        <v>6818</v>
      </c>
      <c r="C10" s="215">
        <v>583683193.73000002</v>
      </c>
      <c r="D10" s="214">
        <v>76969</v>
      </c>
      <c r="E10" s="215">
        <v>97634797.689999998</v>
      </c>
      <c r="F10" s="214">
        <v>83787</v>
      </c>
      <c r="G10" s="216">
        <v>681317991.42000008</v>
      </c>
    </row>
    <row r="11" spans="1:7" ht="15">
      <c r="A11" s="190"/>
      <c r="B11" s="191"/>
      <c r="C11" s="192"/>
      <c r="D11" s="191"/>
      <c r="E11" s="192"/>
      <c r="F11" s="191"/>
      <c r="G11" s="193"/>
    </row>
    <row r="12" spans="1:7" ht="15">
      <c r="A12" s="190" t="s">
        <v>59</v>
      </c>
      <c r="B12" s="194">
        <v>3338</v>
      </c>
      <c r="C12" s="196">
        <v>11397713.310000001</v>
      </c>
      <c r="D12" s="194">
        <v>75352</v>
      </c>
      <c r="E12" s="196">
        <v>49384974.919999994</v>
      </c>
      <c r="F12" s="194">
        <v>78690</v>
      </c>
      <c r="G12" s="196">
        <v>60782688.229999997</v>
      </c>
    </row>
    <row r="13" spans="1:7" ht="14.25">
      <c r="A13" s="197" t="s">
        <v>82</v>
      </c>
      <c r="B13" s="191">
        <v>357</v>
      </c>
      <c r="C13" s="198">
        <v>1320130.07</v>
      </c>
      <c r="D13" s="191">
        <v>53408</v>
      </c>
      <c r="E13" s="198">
        <v>33718089.079999998</v>
      </c>
      <c r="F13" s="191">
        <v>53765</v>
      </c>
      <c r="G13" s="198">
        <v>35038219.149999999</v>
      </c>
    </row>
    <row r="14" spans="1:7" ht="14.25">
      <c r="A14" s="197" t="s">
        <v>83</v>
      </c>
      <c r="B14" s="191">
        <v>54</v>
      </c>
      <c r="C14" s="198">
        <v>297973.05</v>
      </c>
      <c r="D14" s="191">
        <v>17109</v>
      </c>
      <c r="E14" s="198">
        <v>12811467.75</v>
      </c>
      <c r="F14" s="191">
        <v>17163</v>
      </c>
      <c r="G14" s="198">
        <v>13109440.800000001</v>
      </c>
    </row>
    <row r="15" spans="1:7" ht="14.25">
      <c r="A15" s="197" t="s">
        <v>84</v>
      </c>
      <c r="B15" s="191">
        <v>2</v>
      </c>
      <c r="C15" s="198">
        <v>12966.16</v>
      </c>
      <c r="D15" s="191">
        <v>254</v>
      </c>
      <c r="E15" s="198">
        <v>193794.19</v>
      </c>
      <c r="F15" s="191">
        <v>256</v>
      </c>
      <c r="G15" s="198">
        <v>206760.35</v>
      </c>
    </row>
    <row r="16" spans="1:7" ht="14.25">
      <c r="A16" s="197" t="s">
        <v>85</v>
      </c>
      <c r="B16" s="191">
        <v>30</v>
      </c>
      <c r="C16" s="198">
        <v>42135.63</v>
      </c>
      <c r="D16" s="191">
        <v>4394</v>
      </c>
      <c r="E16" s="198">
        <v>2500164.16</v>
      </c>
      <c r="F16" s="191">
        <v>4424</v>
      </c>
      <c r="G16" s="198">
        <v>2542299.79</v>
      </c>
    </row>
    <row r="17" spans="1:7" ht="14.25">
      <c r="A17" s="197" t="s">
        <v>86</v>
      </c>
      <c r="B17" s="191">
        <v>2887</v>
      </c>
      <c r="C17" s="198">
        <v>9705962.75</v>
      </c>
      <c r="D17" s="191">
        <v>1</v>
      </c>
      <c r="E17" s="198">
        <v>3711.53</v>
      </c>
      <c r="F17" s="191">
        <v>2888</v>
      </c>
      <c r="G17" s="198">
        <v>9709674.2799999993</v>
      </c>
    </row>
    <row r="18" spans="1:7" ht="14.25">
      <c r="A18" s="197" t="s">
        <v>87</v>
      </c>
      <c r="B18" s="191">
        <v>8</v>
      </c>
      <c r="C18" s="198">
        <v>18545.650000000001</v>
      </c>
      <c r="D18" s="191">
        <v>186</v>
      </c>
      <c r="E18" s="198">
        <v>157748.21</v>
      </c>
      <c r="F18" s="191">
        <v>194</v>
      </c>
      <c r="G18" s="198">
        <v>176293.86</v>
      </c>
    </row>
    <row r="19" spans="1:7" ht="15">
      <c r="A19" s="190"/>
      <c r="B19" s="200"/>
      <c r="C19" s="221"/>
      <c r="D19" s="200"/>
      <c r="E19" s="201"/>
      <c r="F19" s="191"/>
      <c r="G19" s="193"/>
    </row>
    <row r="20" spans="1:7" ht="15">
      <c r="A20" s="190" t="s">
        <v>60</v>
      </c>
      <c r="B20" s="194">
        <v>71</v>
      </c>
      <c r="C20" s="196">
        <v>18675518.150000002</v>
      </c>
      <c r="D20" s="194">
        <v>1111</v>
      </c>
      <c r="E20" s="196">
        <v>6824882.0900000017</v>
      </c>
      <c r="F20" s="194">
        <v>1182</v>
      </c>
      <c r="G20" s="196">
        <v>25500400.240000002</v>
      </c>
    </row>
    <row r="21" spans="1:7" ht="14.25">
      <c r="A21" s="197" t="s">
        <v>88</v>
      </c>
      <c r="B21" s="191">
        <v>33</v>
      </c>
      <c r="C21" s="198">
        <v>18483898.550000001</v>
      </c>
      <c r="D21" s="191">
        <v>25</v>
      </c>
      <c r="E21" s="198">
        <v>4573216.03</v>
      </c>
      <c r="F21" s="191">
        <v>58</v>
      </c>
      <c r="G21" s="198">
        <v>23057114.580000002</v>
      </c>
    </row>
    <row r="22" spans="1:7" ht="14.25">
      <c r="A22" s="197" t="s">
        <v>89</v>
      </c>
      <c r="B22" s="108">
        <v>0</v>
      </c>
      <c r="C22" s="199">
        <v>0</v>
      </c>
      <c r="D22" s="191">
        <v>24</v>
      </c>
      <c r="E22" s="198">
        <v>793914.38</v>
      </c>
      <c r="F22" s="191">
        <v>24</v>
      </c>
      <c r="G22" s="198">
        <v>793914.38</v>
      </c>
    </row>
    <row r="23" spans="1:7" ht="14.25">
      <c r="A23" s="197" t="s">
        <v>85</v>
      </c>
      <c r="B23" s="191">
        <v>19</v>
      </c>
      <c r="C23" s="198">
        <v>44740.91</v>
      </c>
      <c r="D23" s="191">
        <v>981</v>
      </c>
      <c r="E23" s="198">
        <v>860180.12</v>
      </c>
      <c r="F23" s="191">
        <v>1000</v>
      </c>
      <c r="G23" s="198">
        <v>904921.03</v>
      </c>
    </row>
    <row r="24" spans="1:7" ht="14.25">
      <c r="A24" s="197" t="s">
        <v>90</v>
      </c>
      <c r="B24" s="108">
        <v>0</v>
      </c>
      <c r="C24" s="199">
        <v>0</v>
      </c>
      <c r="D24" s="191">
        <v>4</v>
      </c>
      <c r="E24" s="198">
        <v>103698.86</v>
      </c>
      <c r="F24" s="191">
        <v>4</v>
      </c>
      <c r="G24" s="198">
        <v>103698.86</v>
      </c>
    </row>
    <row r="25" spans="1:7" ht="14.25">
      <c r="A25" s="197" t="s">
        <v>91</v>
      </c>
      <c r="B25" s="108">
        <v>0</v>
      </c>
      <c r="C25" s="199">
        <v>0</v>
      </c>
      <c r="D25" s="108">
        <v>0</v>
      </c>
      <c r="E25" s="199">
        <v>0</v>
      </c>
      <c r="F25" s="108">
        <v>0</v>
      </c>
      <c r="G25" s="199">
        <v>0</v>
      </c>
    </row>
    <row r="26" spans="1:7" ht="14.25">
      <c r="A26" s="197" t="s">
        <v>131</v>
      </c>
      <c r="B26" s="191">
        <v>13</v>
      </c>
      <c r="C26" s="198">
        <v>138118.96</v>
      </c>
      <c r="D26" s="191">
        <v>59</v>
      </c>
      <c r="E26" s="198">
        <v>261969.86</v>
      </c>
      <c r="F26" s="191">
        <v>72</v>
      </c>
      <c r="G26" s="198">
        <v>400088.81999999995</v>
      </c>
    </row>
    <row r="27" spans="1:7" ht="14.25">
      <c r="A27" s="197" t="s">
        <v>132</v>
      </c>
      <c r="B27" s="108">
        <v>0</v>
      </c>
      <c r="C27" s="199">
        <v>0</v>
      </c>
      <c r="D27" s="191">
        <v>5</v>
      </c>
      <c r="E27" s="198">
        <v>172312.15</v>
      </c>
      <c r="F27" s="191">
        <v>5</v>
      </c>
      <c r="G27" s="198">
        <v>172312.15</v>
      </c>
    </row>
    <row r="28" spans="1:7" ht="14.25">
      <c r="A28" s="197" t="s">
        <v>133</v>
      </c>
      <c r="B28" s="191">
        <v>6</v>
      </c>
      <c r="C28" s="198">
        <v>8759.73</v>
      </c>
      <c r="D28" s="191">
        <v>13</v>
      </c>
      <c r="E28" s="198">
        <v>59590.69</v>
      </c>
      <c r="F28" s="191">
        <v>19</v>
      </c>
      <c r="G28" s="198">
        <v>68350.42</v>
      </c>
    </row>
    <row r="29" spans="1:7" ht="14.25">
      <c r="A29" s="197" t="s">
        <v>134</v>
      </c>
      <c r="B29" s="108">
        <v>0</v>
      </c>
      <c r="C29" s="199">
        <v>0</v>
      </c>
      <c r="D29" s="108">
        <v>0</v>
      </c>
      <c r="E29" s="199">
        <v>0</v>
      </c>
      <c r="F29" s="108">
        <v>0</v>
      </c>
      <c r="G29" s="199">
        <v>0</v>
      </c>
    </row>
    <row r="30" spans="1:7" ht="15">
      <c r="A30" s="190"/>
      <c r="B30" s="200"/>
      <c r="C30" s="201"/>
      <c r="D30" s="200"/>
      <c r="E30" s="201"/>
      <c r="F30" s="191"/>
      <c r="G30" s="193"/>
    </row>
    <row r="31" spans="1:7" ht="15">
      <c r="A31" s="190" t="s">
        <v>61</v>
      </c>
      <c r="B31" s="194">
        <v>1</v>
      </c>
      <c r="C31" s="196">
        <v>2435548.5</v>
      </c>
      <c r="D31" s="194">
        <v>4</v>
      </c>
      <c r="E31" s="196">
        <v>1732088.29</v>
      </c>
      <c r="F31" s="194">
        <v>5</v>
      </c>
      <c r="G31" s="196">
        <v>4167636.79</v>
      </c>
    </row>
    <row r="32" spans="1:7" ht="15">
      <c r="A32" s="190"/>
      <c r="B32" s="200"/>
      <c r="C32" s="201"/>
      <c r="D32" s="200"/>
      <c r="E32" s="201"/>
      <c r="F32" s="191"/>
      <c r="G32" s="193"/>
    </row>
    <row r="33" spans="1:7" ht="15">
      <c r="A33" s="190" t="s">
        <v>62</v>
      </c>
      <c r="B33" s="194">
        <v>3408</v>
      </c>
      <c r="C33" s="196">
        <v>551174413.76999998</v>
      </c>
      <c r="D33" s="194">
        <v>502</v>
      </c>
      <c r="E33" s="196">
        <v>39692852.389999993</v>
      </c>
      <c r="F33" s="194">
        <v>3910</v>
      </c>
      <c r="G33" s="196">
        <v>590867266.15999997</v>
      </c>
    </row>
    <row r="34" spans="1:7" ht="14.25">
      <c r="A34" s="197" t="s">
        <v>98</v>
      </c>
      <c r="B34" s="191">
        <v>30</v>
      </c>
      <c r="C34" s="198">
        <v>9388363.9199999999</v>
      </c>
      <c r="D34" s="191">
        <v>94</v>
      </c>
      <c r="E34" s="198">
        <v>4109998.44</v>
      </c>
      <c r="F34" s="191">
        <v>124</v>
      </c>
      <c r="G34" s="198">
        <v>13498362.359999999</v>
      </c>
    </row>
    <row r="35" spans="1:7" ht="14.25">
      <c r="A35" s="197" t="s">
        <v>101</v>
      </c>
      <c r="B35" s="191">
        <v>2</v>
      </c>
      <c r="C35" s="198">
        <v>102398.62</v>
      </c>
      <c r="D35" s="191">
        <v>191</v>
      </c>
      <c r="E35" s="198">
        <v>9816514.1699999999</v>
      </c>
      <c r="F35" s="191">
        <v>193</v>
      </c>
      <c r="G35" s="198">
        <v>9918912.7899999991</v>
      </c>
    </row>
    <row r="36" spans="1:7" ht="14.25">
      <c r="A36" s="197" t="s">
        <v>100</v>
      </c>
      <c r="B36" s="108">
        <v>0</v>
      </c>
      <c r="C36" s="199">
        <v>0</v>
      </c>
      <c r="D36" s="108">
        <v>0</v>
      </c>
      <c r="E36" s="199">
        <v>0</v>
      </c>
      <c r="F36" s="108">
        <v>0</v>
      </c>
      <c r="G36" s="199">
        <v>0</v>
      </c>
    </row>
    <row r="37" spans="1:7" ht="14.25">
      <c r="A37" s="197" t="s">
        <v>118</v>
      </c>
      <c r="B37" s="191">
        <v>749</v>
      </c>
      <c r="C37" s="198">
        <v>106067350.95</v>
      </c>
      <c r="D37" s="191">
        <v>3</v>
      </c>
      <c r="E37" s="198">
        <v>797394.22</v>
      </c>
      <c r="F37" s="191">
        <v>752</v>
      </c>
      <c r="G37" s="198">
        <v>106864745.17</v>
      </c>
    </row>
    <row r="38" spans="1:7" ht="14.25">
      <c r="A38" s="197" t="s">
        <v>114</v>
      </c>
      <c r="B38" s="108">
        <v>1</v>
      </c>
      <c r="C38" s="198">
        <v>524554.99</v>
      </c>
      <c r="D38" s="191">
        <v>5</v>
      </c>
      <c r="E38" s="198">
        <v>3465354.63</v>
      </c>
      <c r="F38" s="191">
        <v>6</v>
      </c>
      <c r="G38" s="198">
        <v>3989909.62</v>
      </c>
    </row>
    <row r="39" spans="1:7" ht="14.25">
      <c r="A39" s="197" t="s">
        <v>103</v>
      </c>
      <c r="B39" s="191">
        <v>2</v>
      </c>
      <c r="C39" s="198">
        <v>459651.78</v>
      </c>
      <c r="D39" s="191">
        <v>9</v>
      </c>
      <c r="E39" s="198">
        <v>1779319.44</v>
      </c>
      <c r="F39" s="191">
        <v>11</v>
      </c>
      <c r="G39" s="198">
        <v>2238971.2199999997</v>
      </c>
    </row>
    <row r="40" spans="1:7" ht="14.25">
      <c r="A40" s="197" t="s">
        <v>135</v>
      </c>
      <c r="B40" s="191">
        <v>8</v>
      </c>
      <c r="C40" s="198">
        <v>8169.79</v>
      </c>
      <c r="D40" s="191">
        <v>48</v>
      </c>
      <c r="E40" s="198">
        <v>299184.25</v>
      </c>
      <c r="F40" s="191">
        <v>56</v>
      </c>
      <c r="G40" s="198">
        <v>307354.03999999998</v>
      </c>
    </row>
    <row r="41" spans="1:7" ht="14.25">
      <c r="A41" s="197" t="s">
        <v>108</v>
      </c>
      <c r="B41" s="191">
        <v>54</v>
      </c>
      <c r="C41" s="198">
        <v>1092622.31</v>
      </c>
      <c r="D41" s="191">
        <v>30</v>
      </c>
      <c r="E41" s="198">
        <v>351722.22</v>
      </c>
      <c r="F41" s="191">
        <v>84</v>
      </c>
      <c r="G41" s="198">
        <v>1444344.53</v>
      </c>
    </row>
    <row r="42" spans="1:7" ht="14.25">
      <c r="A42" s="197" t="s">
        <v>104</v>
      </c>
      <c r="B42" s="191">
        <v>7</v>
      </c>
      <c r="C42" s="198">
        <v>376762.19</v>
      </c>
      <c r="D42" s="191">
        <v>83</v>
      </c>
      <c r="E42" s="198">
        <v>2993219.4</v>
      </c>
      <c r="F42" s="191">
        <v>90</v>
      </c>
      <c r="G42" s="198">
        <v>3369981.59</v>
      </c>
    </row>
    <row r="43" spans="1:7" ht="14.25">
      <c r="A43" s="197" t="s">
        <v>86</v>
      </c>
      <c r="B43" s="191">
        <v>635</v>
      </c>
      <c r="C43" s="198">
        <v>89321482.359999999</v>
      </c>
      <c r="D43" s="191">
        <v>1</v>
      </c>
      <c r="E43" s="198">
        <v>62024.65</v>
      </c>
      <c r="F43" s="191">
        <v>636</v>
      </c>
      <c r="G43" s="198">
        <v>89383507.010000005</v>
      </c>
    </row>
    <row r="44" spans="1:7" ht="14.25">
      <c r="A44" s="197" t="s">
        <v>136</v>
      </c>
      <c r="B44" s="191">
        <v>193</v>
      </c>
      <c r="C44" s="198">
        <v>162040198.83000001</v>
      </c>
      <c r="D44" s="191">
        <v>16</v>
      </c>
      <c r="E44" s="198">
        <v>3561131.49</v>
      </c>
      <c r="F44" s="191">
        <v>209</v>
      </c>
      <c r="G44" s="198">
        <v>165601330.32000002</v>
      </c>
    </row>
    <row r="45" spans="1:7" ht="14.25">
      <c r="A45" s="197" t="s">
        <v>111</v>
      </c>
      <c r="B45" s="191">
        <v>1</v>
      </c>
      <c r="C45" s="198">
        <v>24362.5</v>
      </c>
      <c r="D45" s="191">
        <v>1</v>
      </c>
      <c r="E45" s="198">
        <v>474078.95</v>
      </c>
      <c r="F45" s="191">
        <v>2</v>
      </c>
      <c r="G45" s="198">
        <v>498441.45</v>
      </c>
    </row>
    <row r="46" spans="1:7" ht="14.25">
      <c r="A46" s="197" t="s">
        <v>137</v>
      </c>
      <c r="B46" s="191">
        <v>288</v>
      </c>
      <c r="C46" s="198">
        <v>92051740.340000004</v>
      </c>
      <c r="D46" s="191">
        <v>9</v>
      </c>
      <c r="E46" s="198">
        <v>10032676.02</v>
      </c>
      <c r="F46" s="191">
        <v>297</v>
      </c>
      <c r="G46" s="198">
        <v>102084416.36</v>
      </c>
    </row>
    <row r="47" spans="1:7" ht="14.25">
      <c r="A47" s="204" t="s">
        <v>87</v>
      </c>
      <c r="B47" s="205">
        <v>1438</v>
      </c>
      <c r="C47" s="206">
        <v>89716755.189999998</v>
      </c>
      <c r="D47" s="205">
        <v>12</v>
      </c>
      <c r="E47" s="206">
        <v>1950234.51</v>
      </c>
      <c r="F47" s="205">
        <v>1450</v>
      </c>
      <c r="G47" s="206">
        <v>91666989.700000003</v>
      </c>
    </row>
    <row r="48" spans="1:7" ht="15">
      <c r="A48" s="207"/>
    </row>
    <row r="49" spans="1:5" ht="15">
      <c r="A49" s="209"/>
    </row>
    <row r="50" spans="1:5" ht="15">
      <c r="A50" s="209"/>
      <c r="B50" s="210"/>
      <c r="C50" s="210"/>
      <c r="D50" s="210"/>
      <c r="E50" s="210"/>
    </row>
    <row r="51" spans="1:5">
      <c r="A51" s="211"/>
    </row>
  </sheetData>
  <mergeCells count="8">
    <mergeCell ref="B8:C8"/>
    <mergeCell ref="D8:E8"/>
    <mergeCell ref="F8:G8"/>
    <mergeCell ref="A1:G1"/>
    <mergeCell ref="A2:G2"/>
    <mergeCell ref="A3:G3"/>
    <mergeCell ref="A4:G4"/>
    <mergeCell ref="A6:G6"/>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N68"/>
  <sheetViews>
    <sheetView showGridLines="0" workbookViewId="0">
      <selection activeCell="D7" sqref="D7:E7"/>
    </sheetView>
  </sheetViews>
  <sheetFormatPr defaultColWidth="9.140625" defaultRowHeight="15.75"/>
  <cols>
    <col min="1" max="1" width="9.140625" style="1113"/>
    <col min="2" max="2" width="4.7109375" style="1113" customWidth="1"/>
    <col min="3" max="3" width="44.42578125" style="1113" customWidth="1"/>
    <col min="4" max="4" width="14.28515625" style="1113" customWidth="1"/>
    <col min="5" max="5" width="11.85546875" style="1113" customWidth="1"/>
    <col min="6" max="6" width="13.28515625" style="1177" customWidth="1"/>
    <col min="7" max="7" width="11.85546875" style="1113" customWidth="1"/>
    <col min="8" max="8" width="9.140625" style="1113"/>
    <col min="9" max="9" width="6.7109375" style="1113" customWidth="1"/>
    <col min="10" max="10" width="43.42578125" style="1113" bestFit="1" customWidth="1"/>
    <col min="11" max="11" width="10.42578125" style="1113" bestFit="1" customWidth="1"/>
    <col min="12" max="14" width="12.5703125" style="1113" bestFit="1" customWidth="1"/>
    <col min="15" max="16384" width="9.140625" style="1113"/>
  </cols>
  <sheetData>
    <row r="1" spans="2:14">
      <c r="B1" s="1100" t="s">
        <v>138</v>
      </c>
      <c r="C1" s="1100"/>
      <c r="D1" s="1100"/>
      <c r="E1" s="1100"/>
      <c r="F1" s="1100"/>
      <c r="G1" s="1100"/>
      <c r="I1" s="1100" t="s">
        <v>138</v>
      </c>
      <c r="J1" s="1100"/>
      <c r="K1" s="1100"/>
      <c r="L1" s="1100"/>
      <c r="M1" s="1100"/>
      <c r="N1" s="1100"/>
    </row>
    <row r="2" spans="2:14">
      <c r="B2" s="1100" t="s">
        <v>126</v>
      </c>
      <c r="C2" s="1114"/>
      <c r="D2" s="1114"/>
      <c r="E2" s="1114"/>
      <c r="F2" s="1114"/>
      <c r="G2" s="1114"/>
      <c r="I2" s="1100" t="s">
        <v>126</v>
      </c>
      <c r="J2" s="1114"/>
      <c r="K2" s="1114"/>
      <c r="L2" s="1114"/>
      <c r="M2" s="1114"/>
      <c r="N2" s="1114"/>
    </row>
    <row r="3" spans="2:14">
      <c r="B3" s="1000" t="s">
        <v>139</v>
      </c>
      <c r="C3" s="1000"/>
      <c r="D3" s="1000"/>
      <c r="E3" s="1000"/>
      <c r="F3" s="1000"/>
      <c r="G3" s="1000"/>
      <c r="I3" s="1000" t="s">
        <v>139</v>
      </c>
      <c r="J3" s="1000"/>
      <c r="K3" s="1000"/>
      <c r="L3" s="1000"/>
      <c r="M3" s="1000"/>
      <c r="N3" s="1000"/>
    </row>
    <row r="4" spans="2:14">
      <c r="B4" s="1000" t="s">
        <v>69</v>
      </c>
      <c r="C4" s="1000"/>
      <c r="D4" s="1000"/>
      <c r="E4" s="1000"/>
      <c r="F4" s="1000"/>
      <c r="G4" s="1000"/>
      <c r="I4" s="1000" t="s">
        <v>69</v>
      </c>
      <c r="J4" s="1000"/>
      <c r="K4" s="1000"/>
      <c r="L4" s="1000"/>
      <c r="M4" s="1000"/>
      <c r="N4" s="1000"/>
    </row>
    <row r="5" spans="2:14">
      <c r="B5" s="981"/>
      <c r="C5" s="981"/>
      <c r="D5" s="981"/>
      <c r="E5" s="981"/>
      <c r="F5" s="981"/>
      <c r="G5" s="981"/>
      <c r="I5" s="981"/>
      <c r="J5" s="981"/>
      <c r="K5" s="981"/>
      <c r="L5" s="981"/>
      <c r="M5" s="981"/>
      <c r="N5" s="981"/>
    </row>
    <row r="6" spans="2:14">
      <c r="B6" s="1000" t="s">
        <v>63</v>
      </c>
      <c r="C6" s="1000"/>
      <c r="D6" s="1000"/>
      <c r="E6" s="1000"/>
      <c r="F6" s="1000"/>
      <c r="G6" s="1000"/>
      <c r="I6" s="1000" t="s">
        <v>63</v>
      </c>
      <c r="J6" s="1000"/>
      <c r="K6" s="1000"/>
      <c r="L6" s="1000"/>
      <c r="M6" s="1000"/>
      <c r="N6" s="1000"/>
    </row>
    <row r="7" spans="2:14">
      <c r="B7" s="1115"/>
      <c r="C7" s="575"/>
      <c r="D7" s="1116"/>
      <c r="E7" s="1116"/>
      <c r="F7" s="1116"/>
      <c r="G7" s="1116"/>
      <c r="I7" s="1115"/>
      <c r="J7" s="575"/>
      <c r="K7" s="1117"/>
      <c r="L7" s="1117"/>
      <c r="M7" s="1117"/>
      <c r="N7" s="1117"/>
    </row>
    <row r="8" spans="2:14">
      <c r="B8" s="1118"/>
      <c r="C8" s="1119"/>
      <c r="D8" s="1120" t="s">
        <v>140</v>
      </c>
      <c r="E8" s="1121"/>
      <c r="F8" s="1120" t="s">
        <v>141</v>
      </c>
      <c r="G8" s="1121"/>
      <c r="I8" s="1118"/>
      <c r="J8" s="1119"/>
      <c r="K8" s="1120" t="s">
        <v>140</v>
      </c>
      <c r="L8" s="1121"/>
      <c r="M8" s="1120" t="s">
        <v>141</v>
      </c>
      <c r="N8" s="1121"/>
    </row>
    <row r="9" spans="2:14">
      <c r="B9" s="1122"/>
      <c r="C9" s="1123"/>
      <c r="D9" s="1124"/>
      <c r="E9" s="1125"/>
      <c r="F9" s="1124" t="s">
        <v>142</v>
      </c>
      <c r="G9" s="1125"/>
      <c r="I9" s="1122"/>
      <c r="J9" s="1123"/>
      <c r="K9" s="1124"/>
      <c r="L9" s="1125"/>
      <c r="M9" s="1124" t="s">
        <v>142</v>
      </c>
      <c r="N9" s="1125"/>
    </row>
    <row r="10" spans="2:14">
      <c r="B10" s="1126" t="s">
        <v>143</v>
      </c>
      <c r="C10" s="1127"/>
      <c r="D10" s="1124" t="s">
        <v>144</v>
      </c>
      <c r="E10" s="1125" t="s">
        <v>80</v>
      </c>
      <c r="F10" s="1128" t="s">
        <v>145</v>
      </c>
      <c r="G10" s="1125" t="s">
        <v>80</v>
      </c>
      <c r="I10" s="1126" t="s">
        <v>143</v>
      </c>
      <c r="J10" s="1127"/>
      <c r="K10" s="1124" t="s">
        <v>144</v>
      </c>
      <c r="L10" s="1125" t="s">
        <v>80</v>
      </c>
      <c r="M10" s="1128" t="s">
        <v>145</v>
      </c>
      <c r="N10" s="1125" t="s">
        <v>80</v>
      </c>
    </row>
    <row r="11" spans="2:14">
      <c r="B11" s="1129" t="s">
        <v>146</v>
      </c>
      <c r="C11" s="1130"/>
      <c r="D11" s="1131">
        <v>681558</v>
      </c>
      <c r="E11" s="1132">
        <v>1</v>
      </c>
      <c r="F11" s="1133">
        <v>16892393208</v>
      </c>
      <c r="G11" s="1132">
        <v>1</v>
      </c>
      <c r="I11" s="1134" t="s">
        <v>147</v>
      </c>
      <c r="J11" s="1135"/>
      <c r="K11" s="1131">
        <v>652427</v>
      </c>
      <c r="L11" s="1136">
        <v>0.9572582230712573</v>
      </c>
      <c r="M11" s="1137">
        <v>6179376720</v>
      </c>
      <c r="N11" s="1136">
        <v>0.36580824539849888</v>
      </c>
    </row>
    <row r="12" spans="2:14">
      <c r="B12" s="1134" t="s">
        <v>148</v>
      </c>
      <c r="C12" s="1135"/>
      <c r="D12" s="1131">
        <v>29131</v>
      </c>
      <c r="E12" s="1136">
        <v>4.2741776928742675E-2</v>
      </c>
      <c r="F12" s="1137">
        <v>10713016488</v>
      </c>
      <c r="G12" s="1136">
        <v>0.63419175460150112</v>
      </c>
      <c r="I12" s="1138"/>
      <c r="J12" s="1139"/>
      <c r="K12" s="1140"/>
      <c r="L12" s="1141"/>
      <c r="M12" s="1142"/>
      <c r="N12" s="1141"/>
    </row>
    <row r="13" spans="2:14">
      <c r="B13" s="1143"/>
      <c r="C13" s="1144"/>
      <c r="D13" s="1145"/>
      <c r="E13" s="1146"/>
      <c r="F13" s="1147"/>
      <c r="G13" s="1146"/>
      <c r="I13" s="1148" t="s">
        <v>149</v>
      </c>
      <c r="J13" s="1149"/>
      <c r="K13" s="1150">
        <v>14792</v>
      </c>
      <c r="L13" s="1151">
        <v>2.170321528028429E-2</v>
      </c>
      <c r="M13" s="1152">
        <v>2555277426</v>
      </c>
      <c r="N13" s="1151">
        <v>0.15126793430251531</v>
      </c>
    </row>
    <row r="14" spans="2:14">
      <c r="B14" s="1148" t="s">
        <v>150</v>
      </c>
      <c r="C14" s="1153"/>
      <c r="D14" s="1150">
        <v>17738</v>
      </c>
      <c r="E14" s="1154">
        <v>2.6025664726993154E-2</v>
      </c>
      <c r="F14" s="1155">
        <v>5999924563</v>
      </c>
      <c r="G14" s="1151">
        <v>0.35518499298006634</v>
      </c>
      <c r="I14" s="1156"/>
      <c r="J14" s="265" t="s">
        <v>151</v>
      </c>
      <c r="K14" s="1157">
        <v>196</v>
      </c>
      <c r="L14" s="1158">
        <v>2.8757640582312879E-4</v>
      </c>
      <c r="M14" s="1159">
        <v>79055129</v>
      </c>
      <c r="N14" s="1158">
        <v>4.6799247463977216E-3</v>
      </c>
    </row>
    <row r="15" spans="2:14">
      <c r="B15" s="1156"/>
      <c r="C15" s="265" t="s">
        <v>152</v>
      </c>
      <c r="D15" s="1157">
        <v>15530</v>
      </c>
      <c r="E15" s="1158">
        <v>2.2786028481801991E-2</v>
      </c>
      <c r="F15" s="1159">
        <v>4838143666</v>
      </c>
      <c r="G15" s="1158">
        <v>0.28640960498768897</v>
      </c>
      <c r="I15" s="1156"/>
      <c r="J15" s="265" t="s">
        <v>153</v>
      </c>
      <c r="K15" s="1157">
        <v>2457</v>
      </c>
      <c r="L15" s="1158">
        <v>3.6049756587113644E-3</v>
      </c>
      <c r="M15" s="1159">
        <v>256356755</v>
      </c>
      <c r="N15" s="1158">
        <v>1.5175869507855941E-2</v>
      </c>
    </row>
    <row r="16" spans="2:14">
      <c r="B16" s="1156"/>
      <c r="C16" s="265" t="s">
        <v>154</v>
      </c>
      <c r="D16" s="1157">
        <v>1499</v>
      </c>
      <c r="E16" s="1158">
        <v>2.1993726139228065E-3</v>
      </c>
      <c r="F16" s="1159">
        <v>242884445</v>
      </c>
      <c r="G16" s="1158">
        <v>1.4378332425092576E-2</v>
      </c>
      <c r="I16" s="1156"/>
      <c r="J16" s="265" t="s">
        <v>155</v>
      </c>
      <c r="K16" s="1157">
        <v>365</v>
      </c>
      <c r="L16" s="1158">
        <v>5.3553769451756118E-4</v>
      </c>
      <c r="M16" s="1159">
        <v>136751613</v>
      </c>
      <c r="N16" s="1158">
        <v>8.095455233379031E-3</v>
      </c>
    </row>
    <row r="17" spans="2:14">
      <c r="B17" s="1156"/>
      <c r="C17" s="265" t="s">
        <v>156</v>
      </c>
      <c r="D17" s="1157">
        <v>273</v>
      </c>
      <c r="E17" s="1158">
        <v>4.0055285096792935E-4</v>
      </c>
      <c r="F17" s="1159">
        <v>801994479</v>
      </c>
      <c r="G17" s="1158">
        <v>4.7476664148463382E-2</v>
      </c>
      <c r="I17" s="1156"/>
      <c r="J17" s="265" t="s">
        <v>157</v>
      </c>
      <c r="K17" s="1157">
        <v>1160</v>
      </c>
      <c r="L17" s="1158">
        <v>1.7019828099736193E-3</v>
      </c>
      <c r="M17" s="1159">
        <v>622796221</v>
      </c>
      <c r="N17" s="1158">
        <v>3.6868442104760646E-2</v>
      </c>
    </row>
    <row r="18" spans="2:14">
      <c r="B18" s="1156"/>
      <c r="C18" s="265" t="s">
        <v>158</v>
      </c>
      <c r="D18" s="1157">
        <v>436</v>
      </c>
      <c r="E18" s="1158">
        <v>6.3971078030042935E-4</v>
      </c>
      <c r="F18" s="1159">
        <v>116901973</v>
      </c>
      <c r="G18" s="1158">
        <v>6.9203914188213939E-3</v>
      </c>
      <c r="I18" s="1156"/>
      <c r="J18" s="265" t="s">
        <v>159</v>
      </c>
      <c r="K18" s="1157">
        <v>1158</v>
      </c>
      <c r="L18" s="1158">
        <v>1.699048356852975E-3</v>
      </c>
      <c r="M18" s="1159">
        <v>668660932</v>
      </c>
      <c r="N18" s="1158">
        <v>3.9583552417151384E-2</v>
      </c>
    </row>
    <row r="19" spans="2:14">
      <c r="B19" s="1156"/>
      <c r="C19" s="265"/>
      <c r="D19" s="1157"/>
      <c r="E19" s="1158"/>
      <c r="F19" s="1159"/>
      <c r="G19" s="1158"/>
      <c r="I19" s="1156"/>
      <c r="J19" s="265" t="s">
        <v>160</v>
      </c>
      <c r="K19" s="1157">
        <v>9024</v>
      </c>
      <c r="L19" s="1158">
        <v>1.32402524803465E-2</v>
      </c>
      <c r="M19" s="1159">
        <v>740447782</v>
      </c>
      <c r="N19" s="1158">
        <v>4.3833207816245619E-2</v>
      </c>
    </row>
    <row r="20" spans="2:14">
      <c r="B20" s="1148" t="s">
        <v>161</v>
      </c>
      <c r="C20" s="1149"/>
      <c r="D20" s="1150">
        <v>11393</v>
      </c>
      <c r="E20" s="1151">
        <v>1.6716112201749522E-2</v>
      </c>
      <c r="F20" s="1152">
        <v>4713091925</v>
      </c>
      <c r="G20" s="1151">
        <v>0.27900676162143478</v>
      </c>
      <c r="I20" s="1156"/>
      <c r="J20" s="265" t="s">
        <v>162</v>
      </c>
      <c r="K20" s="1157">
        <v>432</v>
      </c>
      <c r="L20" s="1158">
        <v>6.3384187405914093E-4</v>
      </c>
      <c r="M20" s="1159">
        <v>51208994</v>
      </c>
      <c r="N20" s="1158">
        <v>3.0314824767249757E-3</v>
      </c>
    </row>
    <row r="21" spans="2:14">
      <c r="B21" s="1122"/>
      <c r="C21" s="265" t="s">
        <v>163</v>
      </c>
      <c r="D21" s="1157">
        <v>3829</v>
      </c>
      <c r="E21" s="1158">
        <v>5.6180104994732654E-3</v>
      </c>
      <c r="F21" s="1159">
        <v>299523113</v>
      </c>
      <c r="G21" s="1158">
        <v>1.7731242063330023E-2</v>
      </c>
      <c r="I21" s="1156"/>
      <c r="J21" s="265"/>
      <c r="K21" s="1122"/>
      <c r="L21" s="1158"/>
      <c r="M21" s="1160"/>
      <c r="N21" s="1158"/>
    </row>
    <row r="22" spans="2:14">
      <c r="B22" s="1156"/>
      <c r="C22" s="265" t="s">
        <v>164</v>
      </c>
      <c r="D22" s="1157">
        <v>276</v>
      </c>
      <c r="E22" s="1158">
        <v>4.0495453064889561E-4</v>
      </c>
      <c r="F22" s="1159">
        <v>373946438</v>
      </c>
      <c r="G22" s="1158">
        <v>2.2136972150453155E-2</v>
      </c>
      <c r="I22" s="1148" t="s">
        <v>165</v>
      </c>
      <c r="J22" s="1149"/>
      <c r="K22" s="1150">
        <v>111161</v>
      </c>
      <c r="L22" s="1151">
        <v>0.16309837167196337</v>
      </c>
      <c r="M22" s="1152">
        <v>2547573964</v>
      </c>
      <c r="N22" s="1151">
        <v>0.1508119028861763</v>
      </c>
    </row>
    <row r="23" spans="2:14">
      <c r="B23" s="1156"/>
      <c r="C23" s="265" t="s">
        <v>166</v>
      </c>
      <c r="D23" s="1157">
        <v>421</v>
      </c>
      <c r="E23" s="1158">
        <v>6.1770238189559807E-4</v>
      </c>
      <c r="F23" s="1159">
        <v>304968454</v>
      </c>
      <c r="G23" s="1158">
        <v>1.8053596683717452E-2</v>
      </c>
      <c r="I23" s="1122"/>
      <c r="J23" s="575" t="s">
        <v>167</v>
      </c>
      <c r="K23" s="1157">
        <v>2</v>
      </c>
      <c r="L23" s="1158">
        <v>2.9344531206441713E-6</v>
      </c>
      <c r="M23" s="1159">
        <v>160</v>
      </c>
      <c r="N23" s="1158">
        <v>9.4717188991448674E-9</v>
      </c>
    </row>
    <row r="24" spans="2:14">
      <c r="B24" s="1156"/>
      <c r="C24" s="265" t="s">
        <v>168</v>
      </c>
      <c r="D24" s="1157">
        <v>3791</v>
      </c>
      <c r="E24" s="1158">
        <v>5.5622558901810264E-3</v>
      </c>
      <c r="F24" s="1159">
        <v>851014404</v>
      </c>
      <c r="G24" s="1158">
        <v>5.0378557586320663E-2</v>
      </c>
      <c r="I24" s="1156"/>
      <c r="J24" s="265" t="s">
        <v>169</v>
      </c>
      <c r="K24" s="1157">
        <v>275</v>
      </c>
      <c r="L24" s="1158">
        <v>4.0348730408857356E-4</v>
      </c>
      <c r="M24" s="1159">
        <v>79425417</v>
      </c>
      <c r="N24" s="1158">
        <v>4.7018451454460125E-3</v>
      </c>
    </row>
    <row r="25" spans="2:14">
      <c r="B25" s="1156"/>
      <c r="C25" s="265" t="s">
        <v>170</v>
      </c>
      <c r="D25" s="1157">
        <v>438</v>
      </c>
      <c r="E25" s="1158">
        <v>6.4264523342107344E-4</v>
      </c>
      <c r="F25" s="1159">
        <v>60592230</v>
      </c>
      <c r="G25" s="1158">
        <v>3.5869535627020789E-3</v>
      </c>
      <c r="I25" s="1156"/>
      <c r="J25" s="265" t="s">
        <v>171</v>
      </c>
      <c r="K25" s="1157">
        <v>1025</v>
      </c>
      <c r="L25" s="1158">
        <v>1.5039072243301377E-3</v>
      </c>
      <c r="M25" s="1159">
        <v>39378725</v>
      </c>
      <c r="N25" s="1158">
        <v>2.3311513362920529E-3</v>
      </c>
    </row>
    <row r="26" spans="2:14">
      <c r="B26" s="1156"/>
      <c r="C26" s="265" t="s">
        <v>172</v>
      </c>
      <c r="D26" s="1157">
        <v>30</v>
      </c>
      <c r="E26" s="1158">
        <v>4.4016796809662569E-5</v>
      </c>
      <c r="F26" s="1159">
        <v>62269342</v>
      </c>
      <c r="G26" s="1158">
        <v>3.6862356466169704E-3</v>
      </c>
      <c r="I26" s="1156"/>
      <c r="J26" s="265" t="s">
        <v>173</v>
      </c>
      <c r="K26" s="1157">
        <v>22197</v>
      </c>
      <c r="L26" s="1158">
        <v>3.2568027959469337E-2</v>
      </c>
      <c r="M26" s="1159">
        <v>205164874</v>
      </c>
      <c r="N26" s="1158">
        <v>1.2145400090665472E-2</v>
      </c>
    </row>
    <row r="27" spans="2:14">
      <c r="B27" s="1156"/>
      <c r="C27" s="265" t="s">
        <v>174</v>
      </c>
      <c r="D27" s="1157">
        <v>1266</v>
      </c>
      <c r="E27" s="1158">
        <v>1.8575088253677604E-3</v>
      </c>
      <c r="F27" s="1159">
        <v>648658057</v>
      </c>
      <c r="G27" s="1158">
        <v>3.8399417359809306E-2</v>
      </c>
      <c r="I27" s="1156"/>
      <c r="J27" s="575" t="s">
        <v>175</v>
      </c>
      <c r="K27" s="1157">
        <v>19</v>
      </c>
      <c r="L27" s="1158">
        <v>2.7877304646119625E-5</v>
      </c>
      <c r="M27" s="1159">
        <v>10445073</v>
      </c>
      <c r="N27" s="1158">
        <v>6.1832997085654862E-4</v>
      </c>
    </row>
    <row r="28" spans="2:14">
      <c r="B28" s="1156"/>
      <c r="C28" s="265" t="s">
        <v>176</v>
      </c>
      <c r="D28" s="1157">
        <v>190</v>
      </c>
      <c r="E28" s="1158">
        <v>2.7877304646119628E-4</v>
      </c>
      <c r="F28" s="1159">
        <v>282172756</v>
      </c>
      <c r="G28" s="1158">
        <v>1.6704131411431209E-2</v>
      </c>
      <c r="I28" s="1156"/>
      <c r="J28" s="265" t="s">
        <v>177</v>
      </c>
      <c r="K28" s="1157">
        <v>279</v>
      </c>
      <c r="L28" s="1158">
        <v>4.0935621032986186E-4</v>
      </c>
      <c r="M28" s="1159">
        <v>351535419</v>
      </c>
      <c r="N28" s="1158">
        <v>2.0810279199131938E-2</v>
      </c>
    </row>
    <row r="29" spans="2:14">
      <c r="B29" s="1156"/>
      <c r="C29" s="265" t="s">
        <v>178</v>
      </c>
      <c r="D29" s="1157">
        <v>865</v>
      </c>
      <c r="E29" s="1158">
        <v>1.269150974678604E-3</v>
      </c>
      <c r="F29" s="1159">
        <v>317664405</v>
      </c>
      <c r="G29" s="1158">
        <v>1.8805174677650683E-2</v>
      </c>
      <c r="I29" s="1156"/>
      <c r="J29" s="265" t="s">
        <v>179</v>
      </c>
      <c r="K29" s="1157">
        <v>72959</v>
      </c>
      <c r="L29" s="1158">
        <v>0.10704738261453904</v>
      </c>
      <c r="M29" s="1159">
        <v>1318969720</v>
      </c>
      <c r="N29" s="1158">
        <v>7.8080690152023846E-2</v>
      </c>
    </row>
    <row r="30" spans="2:14">
      <c r="B30" s="1156"/>
      <c r="C30" s="265" t="s">
        <v>180</v>
      </c>
      <c r="D30" s="1157">
        <v>265</v>
      </c>
      <c r="E30" s="1158">
        <v>3.8881503848535269E-4</v>
      </c>
      <c r="F30" s="1159">
        <v>1405198489</v>
      </c>
      <c r="G30" s="1158">
        <v>8.3185281783194454E-2</v>
      </c>
      <c r="I30" s="1156"/>
      <c r="J30" s="265" t="s">
        <v>181</v>
      </c>
      <c r="K30" s="1157">
        <v>350</v>
      </c>
      <c r="L30" s="1158">
        <v>5.1352929611272991E-4</v>
      </c>
      <c r="M30" s="1159">
        <v>363037</v>
      </c>
      <c r="N30" s="1158">
        <v>2.1491152587430346E-5</v>
      </c>
    </row>
    <row r="31" spans="2:14">
      <c r="B31" s="1161"/>
      <c r="C31" s="1162" t="s">
        <v>182</v>
      </c>
      <c r="D31" s="1163">
        <v>22</v>
      </c>
      <c r="E31" s="1164">
        <v>3.2278984327085882E-5</v>
      </c>
      <c r="F31" s="1165">
        <v>107084237</v>
      </c>
      <c r="G31" s="1164">
        <v>6.3391986962088006E-3</v>
      </c>
      <c r="I31" s="1156"/>
      <c r="J31" s="265" t="s">
        <v>183</v>
      </c>
      <c r="K31" s="1157">
        <v>342</v>
      </c>
      <c r="L31" s="1158">
        <v>5.0179148363015331E-4</v>
      </c>
      <c r="M31" s="1159">
        <v>140310910</v>
      </c>
      <c r="N31" s="1158">
        <v>8.3061593625200908E-3</v>
      </c>
    </row>
    <row r="32" spans="2:14">
      <c r="B32" s="1166"/>
      <c r="C32" s="1166"/>
      <c r="D32" s="1167"/>
      <c r="E32" s="1168"/>
      <c r="F32" s="1169"/>
      <c r="G32" s="1168"/>
      <c r="I32" s="1156"/>
      <c r="J32" s="265" t="s">
        <v>184</v>
      </c>
      <c r="K32" s="1157">
        <v>2432</v>
      </c>
      <c r="L32" s="1158">
        <v>3.568294994703312E-3</v>
      </c>
      <c r="M32" s="1159">
        <v>24739757</v>
      </c>
      <c r="N32" s="1158">
        <v>1.4645501496071971E-3</v>
      </c>
    </row>
    <row r="33" spans="2:14">
      <c r="B33" s="1170"/>
      <c r="C33" s="1170"/>
      <c r="D33" s="1171"/>
      <c r="E33" s="1172"/>
      <c r="F33" s="1173"/>
      <c r="G33" s="1172"/>
      <c r="I33" s="1156"/>
      <c r="J33" s="265" t="s">
        <v>185</v>
      </c>
      <c r="K33" s="1157">
        <v>1</v>
      </c>
      <c r="L33" s="1158">
        <v>1.4672265603220857E-6</v>
      </c>
      <c r="M33" s="1159">
        <v>12415</v>
      </c>
      <c r="N33" s="1158">
        <v>7.3494618833052209E-7</v>
      </c>
    </row>
    <row r="34" spans="2:14">
      <c r="F34" s="1113"/>
      <c r="I34" s="1156"/>
      <c r="J34" s="265" t="s">
        <v>186</v>
      </c>
      <c r="K34" s="1157">
        <v>964</v>
      </c>
      <c r="L34" s="1158">
        <v>1.4144064041504904E-3</v>
      </c>
      <c r="M34" s="1159">
        <v>119579577</v>
      </c>
      <c r="N34" s="1158">
        <v>7.0789008713915561E-3</v>
      </c>
    </row>
    <row r="35" spans="2:14">
      <c r="F35" s="1113"/>
      <c r="I35" s="1156"/>
      <c r="J35" s="265" t="s">
        <v>187</v>
      </c>
      <c r="K35" s="1157">
        <v>54</v>
      </c>
      <c r="L35" s="1158">
        <v>7.9230234257392617E-5</v>
      </c>
      <c r="M35" s="1159">
        <v>23866697</v>
      </c>
      <c r="N35" s="1158">
        <v>1.4128665314691506E-3</v>
      </c>
    </row>
    <row r="36" spans="2:14">
      <c r="F36" s="1113"/>
      <c r="I36" s="1156"/>
      <c r="J36" s="265" t="s">
        <v>188</v>
      </c>
      <c r="K36" s="1157">
        <v>8555</v>
      </c>
      <c r="L36" s="1158">
        <v>1.2552123223555442E-2</v>
      </c>
      <c r="M36" s="1159">
        <v>23015527</v>
      </c>
      <c r="N36" s="1158">
        <v>1.3624787628729936E-3</v>
      </c>
    </row>
    <row r="37" spans="2:14">
      <c r="F37" s="1113"/>
      <c r="I37" s="1156"/>
      <c r="J37" s="265" t="s">
        <v>189</v>
      </c>
      <c r="K37" s="1157">
        <v>1707</v>
      </c>
      <c r="L37" s="1158">
        <v>2.5045557384698E-3</v>
      </c>
      <c r="M37" s="1159">
        <v>210766656</v>
      </c>
      <c r="N37" s="1158">
        <v>1.2477015743404781E-2</v>
      </c>
    </row>
    <row r="38" spans="2:14">
      <c r="F38" s="1113"/>
      <c r="I38" s="1156"/>
      <c r="J38" s="265"/>
      <c r="K38" s="1122"/>
      <c r="L38" s="1158"/>
      <c r="M38" s="1160"/>
      <c r="N38" s="1158"/>
    </row>
    <row r="39" spans="2:14">
      <c r="F39" s="1113"/>
      <c r="I39" s="1148" t="s">
        <v>190</v>
      </c>
      <c r="J39" s="1149"/>
      <c r="K39" s="1150">
        <v>6389</v>
      </c>
      <c r="L39" s="1151">
        <v>9.3741104938978043E-3</v>
      </c>
      <c r="M39" s="1152">
        <v>705525616</v>
      </c>
      <c r="N39" s="1151">
        <v>4.1765876943112651E-2</v>
      </c>
    </row>
    <row r="40" spans="2:14">
      <c r="F40" s="1113"/>
      <c r="I40" s="1122"/>
      <c r="J40" s="265" t="s">
        <v>191</v>
      </c>
      <c r="K40" s="1157">
        <v>6</v>
      </c>
      <c r="L40" s="1158">
        <v>8.8033593619325135E-6</v>
      </c>
      <c r="M40" s="1159">
        <v>4418</v>
      </c>
      <c r="N40" s="1158">
        <v>2.6153783810263767E-7</v>
      </c>
    </row>
    <row r="41" spans="2:14">
      <c r="F41" s="1113"/>
      <c r="I41" s="1156"/>
      <c r="J41" s="265" t="s">
        <v>192</v>
      </c>
      <c r="K41" s="1174"/>
      <c r="L41" s="1158">
        <v>0</v>
      </c>
      <c r="M41" s="1175"/>
      <c r="N41" s="1158">
        <v>0</v>
      </c>
    </row>
    <row r="42" spans="2:14">
      <c r="F42" s="1113"/>
      <c r="I42" s="1156"/>
      <c r="J42" s="265" t="s">
        <v>193</v>
      </c>
      <c r="K42" s="1157">
        <v>6251</v>
      </c>
      <c r="L42" s="1158">
        <v>9.1716332285733566E-3</v>
      </c>
      <c r="M42" s="1159">
        <v>652853075</v>
      </c>
      <c r="N42" s="1158">
        <v>3.8647755055264639E-2</v>
      </c>
    </row>
    <row r="43" spans="2:14">
      <c r="F43" s="1113"/>
      <c r="I43" s="1156"/>
      <c r="J43" s="265" t="s">
        <v>194</v>
      </c>
      <c r="K43" s="1157">
        <v>11</v>
      </c>
      <c r="L43" s="1158">
        <v>1.6139492163542941E-5</v>
      </c>
      <c r="M43" s="1159">
        <v>666455</v>
      </c>
      <c r="N43" s="1158">
        <v>3.9452965118309958E-5</v>
      </c>
    </row>
    <row r="44" spans="2:14">
      <c r="F44" s="1113"/>
      <c r="I44" s="1156"/>
      <c r="J44" s="575" t="s">
        <v>195</v>
      </c>
      <c r="K44" s="1157">
        <v>120</v>
      </c>
      <c r="L44" s="1158">
        <v>1.7606718723865028E-4</v>
      </c>
      <c r="M44" s="1159">
        <v>10019187</v>
      </c>
      <c r="N44" s="1158">
        <v>5.9311826788729103E-4</v>
      </c>
    </row>
    <row r="45" spans="2:14">
      <c r="F45" s="1113"/>
      <c r="I45" s="1156"/>
      <c r="J45" s="265" t="s">
        <v>196</v>
      </c>
      <c r="K45" s="1157">
        <v>1</v>
      </c>
      <c r="L45" s="1158">
        <v>1.4672265603220857E-6</v>
      </c>
      <c r="M45" s="1159">
        <v>41982481</v>
      </c>
      <c r="N45" s="1158">
        <v>2.4852891170043146E-3</v>
      </c>
    </row>
    <row r="46" spans="2:14">
      <c r="F46" s="1113"/>
      <c r="I46" s="1156"/>
      <c r="J46" s="265" t="s">
        <v>197</v>
      </c>
      <c r="K46" s="1157">
        <v>0</v>
      </c>
      <c r="L46" s="1158">
        <v>0</v>
      </c>
      <c r="M46" s="1159">
        <v>0</v>
      </c>
      <c r="N46" s="1158">
        <v>0</v>
      </c>
    </row>
    <row r="47" spans="2:14">
      <c r="F47" s="1113"/>
      <c r="I47" s="1156"/>
      <c r="J47" s="265"/>
      <c r="K47" s="1122"/>
      <c r="L47" s="1158"/>
      <c r="M47" s="1160"/>
      <c r="N47" s="1158"/>
    </row>
    <row r="48" spans="2:14">
      <c r="F48" s="1113"/>
      <c r="I48" s="1148" t="s">
        <v>198</v>
      </c>
      <c r="J48" s="1149"/>
      <c r="K48" s="1150">
        <v>520085</v>
      </c>
      <c r="L48" s="1151">
        <v>0.76308252562511192</v>
      </c>
      <c r="M48" s="1152">
        <v>370999714</v>
      </c>
      <c r="N48" s="1151">
        <v>2.1962531266694629E-2</v>
      </c>
    </row>
    <row r="49" spans="3:14">
      <c r="F49" s="1113"/>
      <c r="I49" s="1156"/>
      <c r="J49" s="265" t="s">
        <v>199</v>
      </c>
      <c r="K49" s="1157">
        <v>5</v>
      </c>
      <c r="L49" s="1158">
        <v>7.3361328016104277E-6</v>
      </c>
      <c r="M49" s="1159">
        <v>13390</v>
      </c>
      <c r="N49" s="1158">
        <v>7.926644753721861E-7</v>
      </c>
    </row>
    <row r="50" spans="3:14">
      <c r="F50" s="1113"/>
      <c r="I50" s="1122"/>
      <c r="J50" s="265" t="s">
        <v>200</v>
      </c>
      <c r="K50" s="1157">
        <v>4940</v>
      </c>
      <c r="L50" s="1158">
        <v>7.2480992079911027E-3</v>
      </c>
      <c r="M50" s="1159">
        <v>12141136</v>
      </c>
      <c r="N50" s="1158">
        <v>7.1873392067680079E-4</v>
      </c>
    </row>
    <row r="51" spans="3:14">
      <c r="F51" s="1113"/>
      <c r="I51" s="1156"/>
      <c r="J51" s="265" t="s">
        <v>201</v>
      </c>
      <c r="K51" s="1157">
        <v>405964</v>
      </c>
      <c r="L51" s="1158">
        <v>0.59564116333459516</v>
      </c>
      <c r="M51" s="1159">
        <v>204392986</v>
      </c>
      <c r="N51" s="1158">
        <v>1.2099705677180328E-2</v>
      </c>
    </row>
    <row r="52" spans="3:14">
      <c r="F52" s="1113"/>
      <c r="I52" s="1156"/>
      <c r="J52" s="265" t="s">
        <v>202</v>
      </c>
      <c r="K52" s="1157">
        <v>52787</v>
      </c>
      <c r="L52" s="1158">
        <v>7.7450488439721937E-2</v>
      </c>
      <c r="M52" s="1159">
        <v>130703058</v>
      </c>
      <c r="N52" s="1158">
        <v>7.7373914039664234E-3</v>
      </c>
    </row>
    <row r="53" spans="3:14">
      <c r="F53" s="1113"/>
      <c r="I53" s="1161"/>
      <c r="J53" s="1162" t="s">
        <v>203</v>
      </c>
      <c r="K53" s="1163">
        <v>56389</v>
      </c>
      <c r="L53" s="1164">
        <v>8.2735438510002077E-2</v>
      </c>
      <c r="M53" s="1165">
        <v>23749144</v>
      </c>
      <c r="N53" s="1164">
        <v>1.4059076003957059E-3</v>
      </c>
    </row>
    <row r="54" spans="3:14">
      <c r="C54" s="1176"/>
      <c r="F54" s="1113"/>
    </row>
    <row r="55" spans="3:14">
      <c r="C55" s="1176"/>
      <c r="F55" s="1113"/>
    </row>
    <row r="56" spans="3:14">
      <c r="C56" s="1176"/>
      <c r="F56" s="1113"/>
    </row>
    <row r="57" spans="3:14">
      <c r="F57" s="1113"/>
    </row>
    <row r="58" spans="3:14" hidden="1">
      <c r="F58" s="1113"/>
      <c r="G58" s="355">
        <v>5999924563</v>
      </c>
    </row>
    <row r="59" spans="3:14" hidden="1">
      <c r="F59" s="1113"/>
      <c r="G59" s="355">
        <v>4713091925</v>
      </c>
    </row>
    <row r="60" spans="3:14" hidden="1">
      <c r="F60" s="1113"/>
      <c r="G60" s="355">
        <v>370999714</v>
      </c>
    </row>
    <row r="61" spans="3:14" hidden="1">
      <c r="F61" s="1113"/>
      <c r="G61" s="355">
        <v>2555277426</v>
      </c>
    </row>
    <row r="62" spans="3:14" hidden="1">
      <c r="F62" s="1113"/>
      <c r="G62" s="355">
        <v>2547573964</v>
      </c>
    </row>
    <row r="63" spans="3:14" hidden="1">
      <c r="F63" s="1113"/>
      <c r="G63" s="355">
        <v>705525616</v>
      </c>
    </row>
    <row r="64" spans="3:14" hidden="1">
      <c r="F64" s="1113"/>
    </row>
    <row r="65" spans="6:6">
      <c r="F65" s="1113"/>
    </row>
    <row r="66" spans="6:6">
      <c r="F66" s="1113"/>
    </row>
    <row r="67" spans="6:6">
      <c r="F67" s="1113"/>
    </row>
    <row r="68" spans="6:6">
      <c r="F68" s="1113"/>
    </row>
  </sheetData>
  <mergeCells count="20">
    <mergeCell ref="I4:N4"/>
    <mergeCell ref="I6:N6"/>
    <mergeCell ref="B1:G1"/>
    <mergeCell ref="B2:G2"/>
    <mergeCell ref="B3:G3"/>
    <mergeCell ref="I1:N1"/>
    <mergeCell ref="I2:N2"/>
    <mergeCell ref="I3:N3"/>
    <mergeCell ref="D8:E8"/>
    <mergeCell ref="F8:G8"/>
    <mergeCell ref="B10:C10"/>
    <mergeCell ref="B4:G4"/>
    <mergeCell ref="B6:G6"/>
    <mergeCell ref="D7:E7"/>
    <mergeCell ref="F7:G7"/>
    <mergeCell ref="K7:L7"/>
    <mergeCell ref="M7:N7"/>
    <mergeCell ref="K8:L8"/>
    <mergeCell ref="M8:N8"/>
    <mergeCell ref="I10:J10"/>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O63"/>
  <sheetViews>
    <sheetView showGridLines="0" workbookViewId="0">
      <selection activeCell="E11" sqref="E11"/>
    </sheetView>
  </sheetViews>
  <sheetFormatPr defaultRowHeight="15.75"/>
  <cols>
    <col min="1" max="1" width="9.140625" style="352"/>
    <col min="2" max="2" width="4.7109375" style="352" customWidth="1"/>
    <col min="3" max="3" width="41.7109375" style="352" customWidth="1"/>
    <col min="4" max="4" width="10.7109375" style="1113" customWidth="1"/>
    <col min="5" max="5" width="11.7109375" style="1192" customWidth="1"/>
    <col min="6" max="6" width="12.7109375" style="1177" customWidth="1"/>
    <col min="7" max="7" width="11.7109375" style="1193" customWidth="1"/>
    <col min="8" max="8" width="9.140625" style="352"/>
    <col min="9" max="9" width="10.5703125" style="352" bestFit="1" customWidth="1"/>
    <col min="10" max="10" width="5.42578125" style="352" customWidth="1"/>
    <col min="11" max="11" width="43.42578125" style="352" bestFit="1" customWidth="1"/>
    <col min="12" max="12" width="11.140625" style="352" bestFit="1" customWidth="1"/>
    <col min="13" max="13" width="12.85546875" style="352" bestFit="1" customWidth="1"/>
    <col min="14" max="14" width="11.140625" style="352" bestFit="1" customWidth="1"/>
    <col min="15" max="15" width="12.85546875" style="352" bestFit="1" customWidth="1"/>
    <col min="16" max="16384" width="9.140625" style="352"/>
  </cols>
  <sheetData>
    <row r="1" spans="2:15">
      <c r="B1" s="1100" t="s">
        <v>138</v>
      </c>
      <c r="C1" s="1100"/>
      <c r="D1" s="1100"/>
      <c r="E1" s="1100"/>
      <c r="F1" s="1100"/>
      <c r="G1" s="1100"/>
      <c r="H1" s="1113"/>
      <c r="J1" s="1100" t="s">
        <v>138</v>
      </c>
      <c r="K1" s="1100"/>
      <c r="L1" s="1100"/>
      <c r="M1" s="1100"/>
      <c r="N1" s="1100"/>
      <c r="O1" s="1100"/>
    </row>
    <row r="2" spans="2:15">
      <c r="B2" s="1100" t="s">
        <v>126</v>
      </c>
      <c r="C2" s="1114"/>
      <c r="D2" s="1114"/>
      <c r="E2" s="1114"/>
      <c r="F2" s="1114"/>
      <c r="G2" s="1114"/>
      <c r="H2" s="1113"/>
      <c r="J2" s="1100" t="s">
        <v>126</v>
      </c>
      <c r="K2" s="1100"/>
      <c r="L2" s="1100"/>
      <c r="M2" s="1100"/>
      <c r="N2" s="1100"/>
      <c r="O2" s="1100"/>
    </row>
    <row r="3" spans="2:15">
      <c r="B3" s="1000" t="s">
        <v>139</v>
      </c>
      <c r="C3" s="1000"/>
      <c r="D3" s="1000"/>
      <c r="E3" s="1000"/>
      <c r="F3" s="1000"/>
      <c r="G3" s="1000"/>
      <c r="H3" s="1113"/>
      <c r="J3" s="1000" t="s">
        <v>139</v>
      </c>
      <c r="K3" s="1000"/>
      <c r="L3" s="1000"/>
      <c r="M3" s="1000"/>
      <c r="N3" s="1000"/>
      <c r="O3" s="1000"/>
    </row>
    <row r="4" spans="2:15">
      <c r="B4" s="1000" t="s">
        <v>69</v>
      </c>
      <c r="C4" s="1000"/>
      <c r="D4" s="1000"/>
      <c r="E4" s="1000"/>
      <c r="F4" s="1000"/>
      <c r="G4" s="1000"/>
      <c r="H4" s="1113"/>
      <c r="I4" s="1113"/>
      <c r="J4" s="1000" t="s">
        <v>69</v>
      </c>
      <c r="K4" s="1000"/>
      <c r="L4" s="1000"/>
      <c r="M4" s="1000"/>
      <c r="N4" s="1000"/>
      <c r="O4" s="1000"/>
    </row>
    <row r="5" spans="2:15" ht="9.9499999999999993" customHeight="1">
      <c r="B5" s="981"/>
      <c r="C5" s="981"/>
      <c r="D5" s="981"/>
      <c r="E5" s="981"/>
      <c r="F5" s="981"/>
      <c r="G5" s="981"/>
      <c r="H5" s="1113"/>
      <c r="I5" s="1113"/>
      <c r="J5" s="981"/>
      <c r="K5" s="981"/>
      <c r="L5" s="981"/>
      <c r="M5" s="981"/>
      <c r="N5" s="981"/>
      <c r="O5" s="981"/>
    </row>
    <row r="6" spans="2:15">
      <c r="B6" s="1000" t="s">
        <v>119</v>
      </c>
      <c r="C6" s="1000"/>
      <c r="D6" s="1000"/>
      <c r="E6" s="1000"/>
      <c r="F6" s="1000"/>
      <c r="G6" s="1000"/>
      <c r="H6" s="1113"/>
      <c r="I6" s="1113"/>
      <c r="J6" s="1000" t="s">
        <v>119</v>
      </c>
      <c r="K6" s="1000"/>
      <c r="L6" s="1000"/>
      <c r="M6" s="1000"/>
      <c r="N6" s="1000"/>
      <c r="O6" s="1000"/>
    </row>
    <row r="7" spans="2:15" ht="9" customHeight="1">
      <c r="B7" s="981"/>
      <c r="C7" s="981"/>
      <c r="D7" s="981"/>
      <c r="E7" s="981"/>
      <c r="F7" s="981"/>
      <c r="G7" s="981"/>
      <c r="J7" s="981"/>
      <c r="K7" s="981"/>
      <c r="L7" s="981"/>
      <c r="M7" s="981"/>
      <c r="N7" s="981"/>
      <c r="O7" s="981"/>
    </row>
    <row r="8" spans="2:15" ht="15">
      <c r="B8" s="1178"/>
      <c r="C8" s="1179"/>
      <c r="D8" s="1120" t="s">
        <v>140</v>
      </c>
      <c r="E8" s="1121"/>
      <c r="F8" s="1120" t="s">
        <v>141</v>
      </c>
      <c r="G8" s="1121"/>
      <c r="J8" s="1178"/>
      <c r="K8" s="1179"/>
      <c r="L8" s="1120" t="s">
        <v>140</v>
      </c>
      <c r="M8" s="1121"/>
      <c r="N8" s="1120" t="s">
        <v>141</v>
      </c>
      <c r="O8" s="1121"/>
    </row>
    <row r="9" spans="2:15" ht="15">
      <c r="B9" s="1122"/>
      <c r="C9" s="1153"/>
      <c r="D9" s="1124"/>
      <c r="E9" s="1125"/>
      <c r="F9" s="1124" t="s">
        <v>142</v>
      </c>
      <c r="G9" s="1125"/>
      <c r="J9" s="1122"/>
      <c r="K9" s="1153"/>
      <c r="L9" s="1124"/>
      <c r="M9" s="1125"/>
      <c r="N9" s="1124" t="s">
        <v>142</v>
      </c>
      <c r="O9" s="1125"/>
    </row>
    <row r="10" spans="2:15" ht="15">
      <c r="B10" s="1126" t="s">
        <v>143</v>
      </c>
      <c r="C10" s="1127"/>
      <c r="D10" s="1124" t="s">
        <v>144</v>
      </c>
      <c r="E10" s="1125" t="s">
        <v>80</v>
      </c>
      <c r="F10" s="1180" t="s">
        <v>145</v>
      </c>
      <c r="G10" s="1125" t="s">
        <v>80</v>
      </c>
      <c r="J10" s="1181" t="s">
        <v>143</v>
      </c>
      <c r="K10" s="1182"/>
      <c r="L10" s="1124" t="s">
        <v>144</v>
      </c>
      <c r="M10" s="1125" t="s">
        <v>80</v>
      </c>
      <c r="N10" s="1180" t="s">
        <v>145</v>
      </c>
      <c r="O10" s="1125" t="s">
        <v>80</v>
      </c>
    </row>
    <row r="11" spans="2:15" ht="25.15" customHeight="1">
      <c r="B11" s="1129" t="s">
        <v>204</v>
      </c>
      <c r="C11" s="1130"/>
      <c r="D11" s="1183">
        <v>65378</v>
      </c>
      <c r="E11" s="1132">
        <v>1</v>
      </c>
      <c r="F11" s="1133">
        <v>7097452626</v>
      </c>
      <c r="G11" s="1132">
        <v>1</v>
      </c>
      <c r="H11" s="1113"/>
      <c r="J11" s="1134" t="s">
        <v>147</v>
      </c>
      <c r="K11" s="1135"/>
      <c r="L11" s="1131">
        <v>57582</v>
      </c>
      <c r="M11" s="1136">
        <v>1</v>
      </c>
      <c r="N11" s="1137">
        <v>2891336517</v>
      </c>
      <c r="O11" s="1136">
        <v>1</v>
      </c>
    </row>
    <row r="12" spans="2:15">
      <c r="B12" s="1134" t="s">
        <v>148</v>
      </c>
      <c r="C12" s="1135"/>
      <c r="D12" s="1131">
        <v>7796</v>
      </c>
      <c r="E12" s="1136">
        <v>0.11924500596530943</v>
      </c>
      <c r="F12" s="1137">
        <v>4206116109</v>
      </c>
      <c r="G12" s="1136">
        <v>0.59262334398567074</v>
      </c>
      <c r="H12" s="1113"/>
      <c r="J12" s="1138"/>
      <c r="K12" s="1139"/>
      <c r="L12" s="1140"/>
      <c r="M12" s="1141"/>
      <c r="N12" s="1142"/>
      <c r="O12" s="1141"/>
    </row>
    <row r="13" spans="2:15">
      <c r="B13" s="1138"/>
      <c r="C13" s="1139"/>
      <c r="D13" s="1140"/>
      <c r="E13" s="1184"/>
      <c r="F13" s="1185"/>
      <c r="G13" s="1141"/>
      <c r="H13" s="1113"/>
      <c r="J13" s="1148" t="s">
        <v>149</v>
      </c>
      <c r="K13" s="1149"/>
      <c r="L13" s="1150">
        <v>3757</v>
      </c>
      <c r="M13" s="1151">
        <v>6.5246083845646202E-2</v>
      </c>
      <c r="N13" s="1152">
        <v>1417696479</v>
      </c>
      <c r="O13" s="1151">
        <v>0.49032565758584784</v>
      </c>
    </row>
    <row r="14" spans="2:15" ht="15">
      <c r="B14" s="1186" t="s">
        <v>150</v>
      </c>
      <c r="C14" s="609"/>
      <c r="D14" s="1150">
        <v>2216</v>
      </c>
      <c r="E14" s="1154">
        <v>3.3895194101991495E-2</v>
      </c>
      <c r="F14" s="1155">
        <v>2196139215</v>
      </c>
      <c r="G14" s="1151">
        <v>0.309426399967069</v>
      </c>
      <c r="J14" s="1187"/>
      <c r="K14" s="265" t="s">
        <v>151</v>
      </c>
      <c r="L14" s="1157">
        <v>7</v>
      </c>
      <c r="M14" s="1158">
        <v>1.2156576707999027E-4</v>
      </c>
      <c r="N14" s="1159">
        <v>1113204</v>
      </c>
      <c r="O14" s="1158">
        <v>3.8501364108078326E-4</v>
      </c>
    </row>
    <row r="15" spans="2:15" ht="15">
      <c r="B15" s="1187"/>
      <c r="C15" s="265" t="s">
        <v>152</v>
      </c>
      <c r="D15" s="1157">
        <v>1660</v>
      </c>
      <c r="E15" s="1158">
        <v>2.5390804246076662E-2</v>
      </c>
      <c r="F15" s="1159">
        <v>1793602177</v>
      </c>
      <c r="G15" s="1158">
        <v>0.25271069375363236</v>
      </c>
      <c r="H15" s="1188"/>
      <c r="J15" s="1187"/>
      <c r="K15" s="265" t="s">
        <v>153</v>
      </c>
      <c r="L15" s="1157">
        <v>749</v>
      </c>
      <c r="M15" s="1158">
        <v>1.3007537077558959E-2</v>
      </c>
      <c r="N15" s="1159">
        <v>148739479</v>
      </c>
      <c r="O15" s="1158">
        <v>5.1443157213097238E-2</v>
      </c>
    </row>
    <row r="16" spans="2:15" ht="15">
      <c r="B16" s="1187"/>
      <c r="C16" s="265" t="s">
        <v>154</v>
      </c>
      <c r="D16" s="1157">
        <v>101</v>
      </c>
      <c r="E16" s="1158">
        <v>1.5448621860564716E-3</v>
      </c>
      <c r="F16" s="1159">
        <v>104950478</v>
      </c>
      <c r="G16" s="1158">
        <v>1.4787062842171904E-2</v>
      </c>
      <c r="J16" s="1187"/>
      <c r="K16" s="265" t="s">
        <v>155</v>
      </c>
      <c r="L16" s="1157">
        <v>331</v>
      </c>
      <c r="M16" s="1158">
        <v>5.7483241290681112E-3</v>
      </c>
      <c r="N16" s="1159">
        <v>135165016</v>
      </c>
      <c r="O16" s="1158">
        <v>4.6748282396490065E-2</v>
      </c>
    </row>
    <row r="17" spans="2:15" ht="15">
      <c r="B17" s="1187"/>
      <c r="C17" s="265" t="s">
        <v>156</v>
      </c>
      <c r="D17" s="1157">
        <v>52</v>
      </c>
      <c r="E17" s="1158">
        <v>7.9537459084095565E-4</v>
      </c>
      <c r="F17" s="1159">
        <v>182161897</v>
      </c>
      <c r="G17" s="1158">
        <v>2.5665813722051324E-2</v>
      </c>
      <c r="J17" s="1187"/>
      <c r="K17" s="265" t="s">
        <v>157</v>
      </c>
      <c r="L17" s="1157">
        <v>815</v>
      </c>
      <c r="M17" s="1158">
        <v>1.4153728595741724E-2</v>
      </c>
      <c r="N17" s="1159">
        <v>447706250</v>
      </c>
      <c r="O17" s="1158">
        <v>0.15484404785387351</v>
      </c>
    </row>
    <row r="18" spans="2:15" ht="15">
      <c r="B18" s="1187"/>
      <c r="C18" s="265" t="s">
        <v>158</v>
      </c>
      <c r="D18" s="1157">
        <v>403</v>
      </c>
      <c r="E18" s="1158">
        <v>6.1641530790174067E-3</v>
      </c>
      <c r="F18" s="1159">
        <v>115424663</v>
      </c>
      <c r="G18" s="1158">
        <v>1.6262829649213356E-2</v>
      </c>
      <c r="J18" s="1187"/>
      <c r="K18" s="265" t="s">
        <v>159</v>
      </c>
      <c r="L18" s="1157">
        <v>614</v>
      </c>
      <c r="M18" s="1158">
        <v>1.0663054426730576E-2</v>
      </c>
      <c r="N18" s="1159">
        <v>411835149</v>
      </c>
      <c r="O18" s="1158">
        <v>0.1424376396792833</v>
      </c>
    </row>
    <row r="19" spans="2:15" ht="15">
      <c r="B19" s="1187"/>
      <c r="C19" s="265"/>
      <c r="D19" s="1157"/>
      <c r="E19" s="1189"/>
      <c r="F19" s="1159"/>
      <c r="G19" s="1158"/>
      <c r="J19" s="1187"/>
      <c r="K19" s="265" t="s">
        <v>160</v>
      </c>
      <c r="L19" s="1157">
        <v>1143</v>
      </c>
      <c r="M19" s="1158">
        <v>1.9849953110346985E-2</v>
      </c>
      <c r="N19" s="1159">
        <v>247745922</v>
      </c>
      <c r="O19" s="1158">
        <v>8.5685606135205886E-2</v>
      </c>
    </row>
    <row r="20" spans="2:15" ht="15">
      <c r="B20" s="1186" t="s">
        <v>161</v>
      </c>
      <c r="C20" s="609"/>
      <c r="D20" s="1150">
        <v>5580</v>
      </c>
      <c r="E20" s="1154">
        <v>8.5349811863317943E-2</v>
      </c>
      <c r="F20" s="1155">
        <v>2009976894</v>
      </c>
      <c r="G20" s="1151">
        <v>0.28319694401860174</v>
      </c>
      <c r="J20" s="1187"/>
      <c r="K20" s="265" t="s">
        <v>162</v>
      </c>
      <c r="L20" s="1157">
        <v>98</v>
      </c>
      <c r="M20" s="1158">
        <v>1.7019207391198638E-3</v>
      </c>
      <c r="N20" s="1159">
        <v>25391459</v>
      </c>
      <c r="O20" s="1158">
        <v>8.7819106668170655E-3</v>
      </c>
    </row>
    <row r="21" spans="2:15" ht="15">
      <c r="B21" s="1187"/>
      <c r="C21" s="265" t="s">
        <v>163</v>
      </c>
      <c r="D21" s="1157">
        <v>3829</v>
      </c>
      <c r="E21" s="1158">
        <v>5.8567102083269602E-2</v>
      </c>
      <c r="F21" s="1159">
        <v>299523113</v>
      </c>
      <c r="G21" s="1158">
        <v>4.2201495210092858E-2</v>
      </c>
      <c r="J21" s="1187"/>
      <c r="K21" s="265"/>
      <c r="L21" s="1190"/>
      <c r="M21" s="1158"/>
      <c r="N21" s="1160"/>
      <c r="O21" s="1158"/>
    </row>
    <row r="22" spans="2:15" ht="15">
      <c r="B22" s="1187"/>
      <c r="C22" s="265" t="s">
        <v>164</v>
      </c>
      <c r="D22" s="1157">
        <v>85</v>
      </c>
      <c r="E22" s="1158">
        <v>1.3001315427207929E-3</v>
      </c>
      <c r="F22" s="1159">
        <v>292025570</v>
      </c>
      <c r="G22" s="1158">
        <v>4.1145124228124719E-2</v>
      </c>
      <c r="J22" s="1148" t="s">
        <v>165</v>
      </c>
      <c r="K22" s="1149"/>
      <c r="L22" s="1150">
        <v>26827</v>
      </c>
      <c r="M22" s="1151">
        <v>0.46589211906498557</v>
      </c>
      <c r="N22" s="1152">
        <v>1231476902</v>
      </c>
      <c r="O22" s="1151">
        <v>0.42591960318675004</v>
      </c>
    </row>
    <row r="23" spans="2:15" ht="15">
      <c r="B23" s="1187"/>
      <c r="C23" s="265" t="s">
        <v>166</v>
      </c>
      <c r="D23" s="1157">
        <v>116</v>
      </c>
      <c r="E23" s="1158">
        <v>1.7742971641836703E-3</v>
      </c>
      <c r="F23" s="1159">
        <v>75255506</v>
      </c>
      <c r="G23" s="1158">
        <v>1.0603171301815746E-2</v>
      </c>
      <c r="J23" s="1187"/>
      <c r="K23" s="265" t="s">
        <v>169</v>
      </c>
      <c r="L23" s="1157">
        <v>79</v>
      </c>
      <c r="M23" s="1158">
        <v>1.3719565141884617E-3</v>
      </c>
      <c r="N23" s="1159">
        <v>28660179</v>
      </c>
      <c r="O23" s="1158">
        <v>9.9124328252656307E-3</v>
      </c>
    </row>
    <row r="24" spans="2:15" ht="15">
      <c r="B24" s="1187"/>
      <c r="C24" s="265" t="s">
        <v>168</v>
      </c>
      <c r="D24" s="1157">
        <v>342</v>
      </c>
      <c r="E24" s="1158">
        <v>5.2311175013001312E-3</v>
      </c>
      <c r="F24" s="1159">
        <v>383234117</v>
      </c>
      <c r="G24" s="1158">
        <v>5.3996009159131796E-2</v>
      </c>
      <c r="J24" s="1187"/>
      <c r="K24" s="265" t="s">
        <v>171</v>
      </c>
      <c r="L24" s="1157">
        <v>581</v>
      </c>
      <c r="M24" s="1158">
        <v>1.0089958667639193E-2</v>
      </c>
      <c r="N24" s="1159">
        <v>28729103</v>
      </c>
      <c r="O24" s="1158">
        <v>9.9362709359783596E-3</v>
      </c>
    </row>
    <row r="25" spans="2:15" ht="15">
      <c r="B25" s="1187"/>
      <c r="C25" s="265" t="s">
        <v>170</v>
      </c>
      <c r="D25" s="1157">
        <v>182</v>
      </c>
      <c r="E25" s="1158">
        <v>2.7838110679433447E-3</v>
      </c>
      <c r="F25" s="1159">
        <v>41565178</v>
      </c>
      <c r="G25" s="1158">
        <v>5.8563515940543032E-3</v>
      </c>
      <c r="J25" s="1187"/>
      <c r="K25" s="265" t="s">
        <v>173</v>
      </c>
      <c r="L25" s="1157">
        <v>2261</v>
      </c>
      <c r="M25" s="1158">
        <v>3.9265742766836857E-2</v>
      </c>
      <c r="N25" s="1159">
        <v>70476510</v>
      </c>
      <c r="O25" s="1158">
        <v>2.43750630843639E-2</v>
      </c>
    </row>
    <row r="26" spans="2:15" ht="15">
      <c r="B26" s="1187"/>
      <c r="C26" s="265" t="s">
        <v>172</v>
      </c>
      <c r="D26" s="1157">
        <v>17</v>
      </c>
      <c r="E26" s="1158">
        <v>2.600263085441586E-4</v>
      </c>
      <c r="F26" s="1159">
        <v>56601284</v>
      </c>
      <c r="G26" s="1158">
        <v>7.9748730963914143E-3</v>
      </c>
      <c r="J26" s="1187"/>
      <c r="K26" s="575" t="s">
        <v>175</v>
      </c>
      <c r="L26" s="1157">
        <v>2</v>
      </c>
      <c r="M26" s="1158">
        <v>3.473307630856865E-5</v>
      </c>
      <c r="N26" s="1159">
        <v>3288582</v>
      </c>
      <c r="O26" s="1158">
        <v>1.1373916459271835E-3</v>
      </c>
    </row>
    <row r="27" spans="2:15" ht="15">
      <c r="B27" s="1187"/>
      <c r="C27" s="265" t="s">
        <v>174</v>
      </c>
      <c r="D27" s="1157">
        <v>254</v>
      </c>
      <c r="E27" s="1158">
        <v>3.8850989629538989E-3</v>
      </c>
      <c r="F27" s="1159">
        <v>308957048</v>
      </c>
      <c r="G27" s="1158">
        <v>4.3530695346694098E-2</v>
      </c>
      <c r="J27" s="1187"/>
      <c r="K27" s="265" t="s">
        <v>177</v>
      </c>
      <c r="L27" s="1157">
        <v>60</v>
      </c>
      <c r="M27" s="1158">
        <v>1.0419922892570595E-3</v>
      </c>
      <c r="N27" s="1159">
        <v>138589977</v>
      </c>
      <c r="O27" s="1158">
        <v>4.7932842194307608E-2</v>
      </c>
    </row>
    <row r="28" spans="2:15" ht="15">
      <c r="B28" s="1187"/>
      <c r="C28" s="265" t="s">
        <v>176</v>
      </c>
      <c r="D28" s="1157">
        <v>29</v>
      </c>
      <c r="E28" s="1158">
        <v>4.4357429104591758E-4</v>
      </c>
      <c r="F28" s="1159">
        <v>112740620</v>
      </c>
      <c r="G28" s="1158">
        <v>1.5884659742144504E-2</v>
      </c>
      <c r="J28" s="1187"/>
      <c r="K28" s="265" t="s">
        <v>179</v>
      </c>
      <c r="L28" s="1157">
        <v>19607</v>
      </c>
      <c r="M28" s="1158">
        <v>0.34050571359105275</v>
      </c>
      <c r="N28" s="1159">
        <v>699990687</v>
      </c>
      <c r="O28" s="1158">
        <v>0.24209934847926248</v>
      </c>
    </row>
    <row r="29" spans="2:15" ht="15">
      <c r="B29" s="1187"/>
      <c r="C29" s="265" t="s">
        <v>178</v>
      </c>
      <c r="D29" s="1157">
        <v>626</v>
      </c>
      <c r="E29" s="1158">
        <v>9.5750864205084284E-3</v>
      </c>
      <c r="F29" s="1159">
        <v>191108091</v>
      </c>
      <c r="G29" s="1158">
        <v>2.6926293287244548E-2</v>
      </c>
      <c r="J29" s="1187"/>
      <c r="K29" s="265" t="s">
        <v>181</v>
      </c>
      <c r="L29" s="1157">
        <v>1</v>
      </c>
      <c r="M29" s="1158">
        <v>1.7366538154284325E-5</v>
      </c>
      <c r="N29" s="1159">
        <v>1786</v>
      </c>
      <c r="O29" s="1158">
        <v>6.1770741299014279E-7</v>
      </c>
    </row>
    <row r="30" spans="2:15" ht="15">
      <c r="B30" s="1187"/>
      <c r="C30" s="265" t="s">
        <v>180</v>
      </c>
      <c r="D30" s="1157">
        <v>97</v>
      </c>
      <c r="E30" s="1158">
        <v>1.483679525222552E-3</v>
      </c>
      <c r="F30" s="1159">
        <v>246012414</v>
      </c>
      <c r="G30" s="1158">
        <v>3.4662072008594481E-2</v>
      </c>
      <c r="J30" s="1187"/>
      <c r="K30" s="265" t="s">
        <v>183</v>
      </c>
      <c r="L30" s="1157">
        <v>85</v>
      </c>
      <c r="M30" s="1158">
        <v>1.4761557431141677E-3</v>
      </c>
      <c r="N30" s="1159">
        <v>76752887</v>
      </c>
      <c r="O30" s="1158">
        <v>2.6545815939694715E-2</v>
      </c>
    </row>
    <row r="31" spans="2:15" ht="15">
      <c r="B31" s="1191"/>
      <c r="C31" s="1162" t="s">
        <v>182</v>
      </c>
      <c r="D31" s="1163">
        <v>3</v>
      </c>
      <c r="E31" s="1164">
        <v>4.5886995625439753E-5</v>
      </c>
      <c r="F31" s="1165">
        <v>2953953</v>
      </c>
      <c r="G31" s="1164">
        <v>4.1619904431328288E-4</v>
      </c>
      <c r="J31" s="1187"/>
      <c r="K31" s="265" t="s">
        <v>184</v>
      </c>
      <c r="L31" s="1157">
        <v>2432</v>
      </c>
      <c r="M31" s="1158">
        <v>4.2235420791219482E-2</v>
      </c>
      <c r="N31" s="1159">
        <v>24739757</v>
      </c>
      <c r="O31" s="1158">
        <v>8.5565124829086094E-3</v>
      </c>
    </row>
    <row r="32" spans="2:15">
      <c r="J32" s="1187"/>
      <c r="K32" s="265" t="s">
        <v>186</v>
      </c>
      <c r="L32" s="1157">
        <v>287</v>
      </c>
      <c r="M32" s="1158">
        <v>4.9841964502796016E-3</v>
      </c>
      <c r="N32" s="1159">
        <v>60967548</v>
      </c>
      <c r="O32" s="1158">
        <v>2.1086285751081946E-2</v>
      </c>
    </row>
    <row r="33" spans="2:15">
      <c r="B33" s="1194"/>
      <c r="C33" s="1195"/>
      <c r="D33" s="1196"/>
      <c r="E33" s="1197"/>
      <c r="G33" s="1197"/>
      <c r="J33" s="1187"/>
      <c r="K33" s="265" t="s">
        <v>187</v>
      </c>
      <c r="L33" s="1157">
        <v>20</v>
      </c>
      <c r="M33" s="1158">
        <v>3.4733076308568651E-4</v>
      </c>
      <c r="N33" s="1159">
        <v>11557214</v>
      </c>
      <c r="O33" s="1158">
        <v>3.9971874363457227E-3</v>
      </c>
    </row>
    <row r="34" spans="2:15">
      <c r="J34" s="1187"/>
      <c r="K34" s="265" t="s">
        <v>188</v>
      </c>
      <c r="L34" s="1157">
        <v>842</v>
      </c>
      <c r="M34" s="1158">
        <v>1.4622625125907401E-2</v>
      </c>
      <c r="N34" s="1159">
        <v>4011631</v>
      </c>
      <c r="O34" s="1158">
        <v>1.3874659612995853E-3</v>
      </c>
    </row>
    <row r="35" spans="2:15">
      <c r="J35" s="1187"/>
      <c r="K35" s="265" t="s">
        <v>189</v>
      </c>
      <c r="L35" s="1157">
        <v>570</v>
      </c>
      <c r="M35" s="1158">
        <v>9.8989267479420648E-3</v>
      </c>
      <c r="N35" s="1159">
        <v>83711041</v>
      </c>
      <c r="O35" s="1158">
        <v>2.895236874290133E-2</v>
      </c>
    </row>
    <row r="36" spans="2:15">
      <c r="J36" s="1187"/>
      <c r="K36" s="265"/>
      <c r="L36" s="1190"/>
      <c r="M36" s="1158"/>
      <c r="N36" s="1160"/>
      <c r="O36" s="1158"/>
    </row>
    <row r="37" spans="2:15">
      <c r="J37" s="1148" t="s">
        <v>190</v>
      </c>
      <c r="K37" s="1149"/>
      <c r="L37" s="1150">
        <v>592</v>
      </c>
      <c r="M37" s="1151">
        <v>1.028099058733632E-2</v>
      </c>
      <c r="N37" s="1152">
        <v>202285583</v>
      </c>
      <c r="O37" s="1151">
        <v>6.9962656304665624E-2</v>
      </c>
    </row>
    <row r="38" spans="2:15">
      <c r="J38" s="1187"/>
      <c r="K38" s="265" t="s">
        <v>193</v>
      </c>
      <c r="L38" s="1157">
        <v>587</v>
      </c>
      <c r="M38" s="1158">
        <v>1.0194157896564899E-2</v>
      </c>
      <c r="N38" s="1159">
        <v>160268956</v>
      </c>
      <c r="O38" s="1158">
        <v>5.5430751508057687E-2</v>
      </c>
    </row>
    <row r="39" spans="2:15">
      <c r="J39" s="1187"/>
      <c r="K39" s="265" t="s">
        <v>194</v>
      </c>
      <c r="L39" s="1157">
        <v>4</v>
      </c>
      <c r="M39" s="1158">
        <v>6.94661526171373E-5</v>
      </c>
      <c r="N39" s="1159">
        <v>34146</v>
      </c>
      <c r="O39" s="1158">
        <v>1.1809763339284108E-5</v>
      </c>
    </row>
    <row r="40" spans="2:15" hidden="1">
      <c r="J40" s="1187"/>
      <c r="K40" s="265" t="s">
        <v>196</v>
      </c>
      <c r="L40" s="1157">
        <v>1</v>
      </c>
      <c r="M40" s="1158">
        <v>1.7366538154284325E-5</v>
      </c>
      <c r="N40" s="1159">
        <v>41982481</v>
      </c>
      <c r="O40" s="1158">
        <v>1.4520095033268657E-2</v>
      </c>
    </row>
    <row r="41" spans="2:15">
      <c r="J41" s="1187"/>
      <c r="K41" s="265" t="s">
        <v>197</v>
      </c>
      <c r="L41" s="1157"/>
      <c r="M41" s="1158">
        <v>0</v>
      </c>
      <c r="N41" s="1159">
        <v>0</v>
      </c>
      <c r="O41" s="1158">
        <v>0</v>
      </c>
    </row>
    <row r="42" spans="2:15">
      <c r="J42" s="1187"/>
      <c r="K42" s="265"/>
      <c r="L42" s="1190"/>
      <c r="M42" s="1158"/>
      <c r="N42" s="1160"/>
      <c r="O42" s="1158"/>
    </row>
    <row r="43" spans="2:15">
      <c r="J43" s="1148" t="s">
        <v>198</v>
      </c>
      <c r="K43" s="1149"/>
      <c r="L43" s="1150">
        <v>26406</v>
      </c>
      <c r="M43" s="1151">
        <v>0.45858080650203187</v>
      </c>
      <c r="N43" s="1152">
        <v>39877553</v>
      </c>
      <c r="O43" s="1151">
        <v>1.3792082922736454E-2</v>
      </c>
    </row>
    <row r="44" spans="2:15">
      <c r="I44" s="1113"/>
      <c r="J44" s="1186"/>
      <c r="K44" s="265" t="s">
        <v>199</v>
      </c>
      <c r="L44" s="1157">
        <v>1</v>
      </c>
      <c r="M44" s="1158">
        <v>1.7366538154284325E-5</v>
      </c>
      <c r="N44" s="1159">
        <v>6446</v>
      </c>
      <c r="O44" s="1158">
        <v>2.2294188041066408E-6</v>
      </c>
    </row>
    <row r="45" spans="2:15">
      <c r="I45" s="1113"/>
      <c r="J45" s="1122"/>
      <c r="K45" s="265" t="s">
        <v>200</v>
      </c>
      <c r="L45" s="1157">
        <v>155</v>
      </c>
      <c r="M45" s="1158">
        <v>2.6918134139140705E-3</v>
      </c>
      <c r="N45" s="1159">
        <v>644283</v>
      </c>
      <c r="O45" s="1158">
        <v>2.2283224253277052E-4</v>
      </c>
    </row>
    <row r="46" spans="2:15">
      <c r="I46" s="1113"/>
      <c r="J46" s="1122"/>
      <c r="K46" s="265" t="s">
        <v>201</v>
      </c>
      <c r="L46" s="1157">
        <v>18420</v>
      </c>
      <c r="M46" s="1158">
        <v>0.31989163280191729</v>
      </c>
      <c r="N46" s="1159">
        <v>23617379</v>
      </c>
      <c r="O46" s="1158">
        <v>8.1683259147243698E-3</v>
      </c>
    </row>
    <row r="47" spans="2:15">
      <c r="J47" s="1122"/>
      <c r="K47" s="265" t="s">
        <v>202</v>
      </c>
      <c r="L47" s="1157">
        <v>2495</v>
      </c>
      <c r="M47" s="1158">
        <v>4.3329512694939391E-2</v>
      </c>
      <c r="N47" s="1159">
        <v>10232005</v>
      </c>
      <c r="O47" s="1158">
        <v>3.538849573489477E-3</v>
      </c>
    </row>
    <row r="48" spans="2:15">
      <c r="J48" s="1198"/>
      <c r="K48" s="1162" t="s">
        <v>203</v>
      </c>
      <c r="L48" s="1163">
        <v>5335</v>
      </c>
      <c r="M48" s="1164">
        <v>9.2650481053106873E-2</v>
      </c>
      <c r="N48" s="1165">
        <v>5377440</v>
      </c>
      <c r="O48" s="1164">
        <v>1.8598457731857298E-3</v>
      </c>
    </row>
    <row r="54" spans="3:8">
      <c r="C54" s="1176"/>
    </row>
    <row r="55" spans="3:8">
      <c r="C55" s="1176"/>
    </row>
    <row r="56" spans="3:8">
      <c r="C56" s="1176"/>
    </row>
    <row r="57" spans="3:8" hidden="1">
      <c r="G57" s="355">
        <v>2196139215</v>
      </c>
      <c r="H57" s="352" t="s">
        <v>205</v>
      </c>
    </row>
    <row r="58" spans="3:8" hidden="1">
      <c r="G58" s="355">
        <v>2009976894</v>
      </c>
      <c r="H58" s="352" t="s">
        <v>206</v>
      </c>
    </row>
    <row r="59" spans="3:8" hidden="1">
      <c r="G59" s="355">
        <v>39877553</v>
      </c>
      <c r="H59" s="352" t="s">
        <v>207</v>
      </c>
    </row>
    <row r="60" spans="3:8" hidden="1">
      <c r="G60" s="355">
        <v>1417696479</v>
      </c>
      <c r="H60" s="352" t="s">
        <v>208</v>
      </c>
    </row>
    <row r="61" spans="3:8" hidden="1">
      <c r="G61" s="355">
        <v>1231476902</v>
      </c>
      <c r="H61" s="352" t="s">
        <v>70</v>
      </c>
    </row>
    <row r="62" spans="3:8" hidden="1">
      <c r="G62" s="355">
        <v>202285583</v>
      </c>
      <c r="H62" s="352" t="s">
        <v>209</v>
      </c>
    </row>
    <row r="63" spans="3:8" hidden="1"/>
  </sheetData>
  <mergeCells count="16">
    <mergeCell ref="B1:G1"/>
    <mergeCell ref="J1:O1"/>
    <mergeCell ref="B2:G2"/>
    <mergeCell ref="J2:O2"/>
    <mergeCell ref="B3:G3"/>
    <mergeCell ref="J3:O3"/>
    <mergeCell ref="B10:C10"/>
    <mergeCell ref="J10:K10"/>
    <mergeCell ref="B4:G4"/>
    <mergeCell ref="J4:O4"/>
    <mergeCell ref="B6:G6"/>
    <mergeCell ref="J6:O6"/>
    <mergeCell ref="D8:E8"/>
    <mergeCell ref="F8:G8"/>
    <mergeCell ref="L8:M8"/>
    <mergeCell ref="N8:O8"/>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O76"/>
  <sheetViews>
    <sheetView showGridLines="0" topLeftCell="A22" workbookViewId="0">
      <selection activeCell="A51" sqref="A51"/>
    </sheetView>
  </sheetViews>
  <sheetFormatPr defaultColWidth="9.140625" defaultRowHeight="15.75"/>
  <cols>
    <col min="1" max="1" width="7.140625" style="222" customWidth="1"/>
    <col min="2" max="2" width="4.7109375" style="222" customWidth="1"/>
    <col min="3" max="3" width="43.7109375" style="222" customWidth="1"/>
    <col min="4" max="4" width="10.7109375" style="222" customWidth="1"/>
    <col min="5" max="5" width="11.7109375" style="284" customWidth="1"/>
    <col min="6" max="6" width="12.7109375" style="222" customWidth="1"/>
    <col min="7" max="7" width="11.7109375" style="284" customWidth="1"/>
    <col min="8" max="8" width="9" style="222" customWidth="1"/>
    <col min="9" max="9" width="9.140625" style="222"/>
    <col min="10" max="10" width="6" style="222" customWidth="1"/>
    <col min="11" max="11" width="43.42578125" style="222" bestFit="1" customWidth="1"/>
    <col min="12" max="12" width="10.42578125" style="222" bestFit="1" customWidth="1"/>
    <col min="13" max="13" width="12.5703125" style="222" bestFit="1" customWidth="1"/>
    <col min="14" max="14" width="11.140625" style="222" bestFit="1" customWidth="1"/>
    <col min="15" max="15" width="12.5703125" style="222" bestFit="1" customWidth="1"/>
    <col min="16" max="16384" width="9.140625" style="222"/>
  </cols>
  <sheetData>
    <row r="1" spans="1:15">
      <c r="B1" s="1015" t="s">
        <v>138</v>
      </c>
      <c r="C1" s="1015"/>
      <c r="D1" s="1015"/>
      <c r="E1" s="1015"/>
      <c r="F1" s="1015"/>
      <c r="G1" s="1015"/>
      <c r="J1" s="1015" t="s">
        <v>138</v>
      </c>
      <c r="K1" s="1015"/>
      <c r="L1" s="1015"/>
      <c r="M1" s="1015"/>
      <c r="N1" s="1015"/>
      <c r="O1" s="1015"/>
    </row>
    <row r="2" spans="1:15">
      <c r="B2" s="1015" t="s">
        <v>126</v>
      </c>
      <c r="C2" s="985"/>
      <c r="D2" s="985"/>
      <c r="E2" s="985"/>
      <c r="F2" s="985"/>
      <c r="G2" s="985"/>
      <c r="J2" s="1015" t="s">
        <v>126</v>
      </c>
      <c r="K2" s="1015"/>
      <c r="L2" s="1015"/>
      <c r="M2" s="1015"/>
      <c r="N2" s="1015"/>
      <c r="O2" s="1015"/>
    </row>
    <row r="3" spans="1:15">
      <c r="B3" s="1014" t="s">
        <v>139</v>
      </c>
      <c r="C3" s="1014"/>
      <c r="D3" s="1014"/>
      <c r="E3" s="1014"/>
      <c r="F3" s="1014"/>
      <c r="G3" s="1014"/>
      <c r="J3" s="1014" t="s">
        <v>139</v>
      </c>
      <c r="K3" s="1014"/>
      <c r="L3" s="1014"/>
      <c r="M3" s="1014"/>
      <c r="N3" s="1014"/>
      <c r="O3" s="1014"/>
    </row>
    <row r="4" spans="1:15">
      <c r="B4" s="1014" t="s">
        <v>69</v>
      </c>
      <c r="C4" s="1014"/>
      <c r="D4" s="1014"/>
      <c r="E4" s="1014"/>
      <c r="F4" s="1014"/>
      <c r="G4" s="1014"/>
      <c r="J4" s="1014" t="s">
        <v>69</v>
      </c>
      <c r="K4" s="1014"/>
      <c r="L4" s="1014"/>
      <c r="M4" s="1014"/>
      <c r="N4" s="1014"/>
      <c r="O4" s="1014"/>
    </row>
    <row r="5" spans="1:15" ht="9.9499999999999993" customHeight="1">
      <c r="B5" s="223"/>
      <c r="C5" s="223"/>
      <c r="D5" s="223"/>
      <c r="E5" s="223"/>
      <c r="F5" s="223"/>
      <c r="G5" s="223"/>
      <c r="J5" s="223"/>
      <c r="K5" s="223"/>
      <c r="L5" s="223"/>
      <c r="M5" s="223"/>
      <c r="N5" s="223"/>
      <c r="O5" s="223"/>
    </row>
    <row r="6" spans="1:15">
      <c r="B6" s="1014" t="s">
        <v>121</v>
      </c>
      <c r="C6" s="1014"/>
      <c r="D6" s="1014"/>
      <c r="E6" s="1014"/>
      <c r="F6" s="1014"/>
      <c r="G6" s="1014"/>
      <c r="J6" s="1014" t="s">
        <v>121</v>
      </c>
      <c r="K6" s="1014"/>
      <c r="L6" s="1014"/>
      <c r="M6" s="1014"/>
      <c r="N6" s="1014"/>
      <c r="O6" s="1014"/>
    </row>
    <row r="7" spans="1:15" ht="9" customHeight="1">
      <c r="B7" s="223"/>
      <c r="C7" s="223"/>
      <c r="D7" s="223"/>
      <c r="E7" s="223"/>
      <c r="F7" s="223"/>
      <c r="G7" s="223"/>
      <c r="J7" s="223"/>
      <c r="K7" s="223"/>
      <c r="L7" s="223"/>
      <c r="M7" s="223"/>
      <c r="N7" s="223"/>
      <c r="O7" s="223"/>
    </row>
    <row r="8" spans="1:15">
      <c r="B8" s="275"/>
      <c r="C8" s="276"/>
      <c r="D8" s="1010" t="s">
        <v>140</v>
      </c>
      <c r="E8" s="1011"/>
      <c r="F8" s="1010" t="s">
        <v>141</v>
      </c>
      <c r="G8" s="1011"/>
      <c r="J8" s="275"/>
      <c r="K8" s="276"/>
      <c r="L8" s="1010" t="s">
        <v>140</v>
      </c>
      <c r="M8" s="1011"/>
      <c r="N8" s="1010" t="s">
        <v>141</v>
      </c>
      <c r="O8" s="1011"/>
    </row>
    <row r="9" spans="1:15">
      <c r="B9" s="227"/>
      <c r="C9" s="256"/>
      <c r="D9" s="229"/>
      <c r="E9" s="230"/>
      <c r="F9" s="229" t="s">
        <v>142</v>
      </c>
      <c r="G9" s="230"/>
      <c r="J9" s="227"/>
      <c r="K9" s="256"/>
      <c r="L9" s="229"/>
      <c r="M9" s="230"/>
      <c r="N9" s="229" t="s">
        <v>142</v>
      </c>
      <c r="O9" s="230"/>
    </row>
    <row r="10" spans="1:15">
      <c r="B10" s="1012" t="s">
        <v>143</v>
      </c>
      <c r="C10" s="1013"/>
      <c r="D10" s="288" t="s">
        <v>144</v>
      </c>
      <c r="E10" s="289" t="s">
        <v>80</v>
      </c>
      <c r="F10" s="290" t="s">
        <v>145</v>
      </c>
      <c r="G10" s="289" t="s">
        <v>80</v>
      </c>
      <c r="J10" s="1016" t="s">
        <v>143</v>
      </c>
      <c r="K10" s="1017"/>
      <c r="L10" s="229" t="s">
        <v>144</v>
      </c>
      <c r="M10" s="230" t="s">
        <v>80</v>
      </c>
      <c r="N10" s="277" t="s">
        <v>145</v>
      </c>
      <c r="O10" s="230" t="s">
        <v>80</v>
      </c>
    </row>
    <row r="11" spans="1:15" ht="25.15" customHeight="1">
      <c r="B11" s="282" t="s">
        <v>204</v>
      </c>
      <c r="C11" s="256"/>
      <c r="D11" s="253">
        <v>70427</v>
      </c>
      <c r="E11" s="291">
        <v>1</v>
      </c>
      <c r="F11" s="255">
        <v>1793415041</v>
      </c>
      <c r="G11" s="291">
        <v>1</v>
      </c>
      <c r="J11" s="236" t="s">
        <v>147</v>
      </c>
      <c r="K11" s="237"/>
      <c r="L11" s="233">
        <v>67196</v>
      </c>
      <c r="M11" s="238">
        <v>0.95412270862027349</v>
      </c>
      <c r="N11" s="239">
        <v>703351464</v>
      </c>
      <c r="O11" s="238">
        <v>0.39218554987015969</v>
      </c>
    </row>
    <row r="12" spans="1:15">
      <c r="B12" s="236" t="s">
        <v>148</v>
      </c>
      <c r="C12" s="237"/>
      <c r="D12" s="233">
        <v>3231</v>
      </c>
      <c r="E12" s="238">
        <v>4.5877291379726529E-2</v>
      </c>
      <c r="F12" s="239">
        <v>1090063577</v>
      </c>
      <c r="G12" s="238">
        <v>0.60781445012984026</v>
      </c>
      <c r="J12" s="241"/>
      <c r="K12" s="242"/>
      <c r="L12" s="243"/>
      <c r="M12" s="244"/>
      <c r="N12" s="245"/>
      <c r="O12" s="244"/>
    </row>
    <row r="13" spans="1:15">
      <c r="B13" s="241"/>
      <c r="C13" s="242"/>
      <c r="D13" s="243"/>
      <c r="E13" s="240"/>
      <c r="F13" s="279"/>
      <c r="G13" s="244"/>
      <c r="J13" s="251" t="s">
        <v>149</v>
      </c>
      <c r="K13" s="252"/>
      <c r="L13" s="253">
        <v>1809</v>
      </c>
      <c r="M13" s="254">
        <v>2.5686171496727108E-2</v>
      </c>
      <c r="N13" s="255">
        <v>246990401</v>
      </c>
      <c r="O13" s="254">
        <v>0.13772071458834162</v>
      </c>
    </row>
    <row r="14" spans="1:15">
      <c r="B14" s="280" t="s">
        <v>150</v>
      </c>
      <c r="C14" s="256"/>
      <c r="D14" s="253">
        <v>2310</v>
      </c>
      <c r="E14" s="257">
        <v>3.2799920485041247E-2</v>
      </c>
      <c r="F14" s="258">
        <v>736032618</v>
      </c>
      <c r="G14" s="254">
        <v>0.41040841142359974</v>
      </c>
      <c r="J14" s="259"/>
      <c r="K14" s="260" t="s">
        <v>151</v>
      </c>
      <c r="L14" s="261">
        <v>20</v>
      </c>
      <c r="M14" s="262">
        <v>2.8398199554148268E-4</v>
      </c>
      <c r="N14" s="263">
        <v>5590413</v>
      </c>
      <c r="O14" s="262">
        <v>3.1171886441204435E-3</v>
      </c>
    </row>
    <row r="15" spans="1:15">
      <c r="A15" s="286"/>
      <c r="B15" s="259"/>
      <c r="C15" s="260" t="s">
        <v>152</v>
      </c>
      <c r="D15" s="261">
        <v>2161</v>
      </c>
      <c r="E15" s="262">
        <v>3.0684254618257203E-2</v>
      </c>
      <c r="F15" s="263">
        <v>667643096</v>
      </c>
      <c r="G15" s="262">
        <v>0.3722747276769382</v>
      </c>
      <c r="J15" s="259"/>
      <c r="K15" s="260" t="s">
        <v>153</v>
      </c>
      <c r="L15" s="261">
        <v>387</v>
      </c>
      <c r="M15" s="262">
        <v>5.4950516137276893E-3</v>
      </c>
      <c r="N15" s="263">
        <v>32238591</v>
      </c>
      <c r="O15" s="262">
        <v>1.7976090454791718E-2</v>
      </c>
    </row>
    <row r="16" spans="1:15">
      <c r="A16" s="286"/>
      <c r="B16" s="259"/>
      <c r="C16" s="260" t="s">
        <v>154</v>
      </c>
      <c r="D16" s="261">
        <v>112</v>
      </c>
      <c r="E16" s="262">
        <v>1.590299175032303E-3</v>
      </c>
      <c r="F16" s="263">
        <v>38050603</v>
      </c>
      <c r="G16" s="262">
        <v>2.1216841684779872E-2</v>
      </c>
      <c r="J16" s="259"/>
      <c r="K16" s="260" t="s">
        <v>155</v>
      </c>
      <c r="L16" s="261">
        <v>6</v>
      </c>
      <c r="M16" s="262">
        <v>8.5194598662444797E-5</v>
      </c>
      <c r="N16" s="263">
        <v>227547</v>
      </c>
      <c r="O16" s="262">
        <v>1.2687916338268291E-4</v>
      </c>
    </row>
    <row r="17" spans="1:15">
      <c r="A17" s="286"/>
      <c r="B17" s="259"/>
      <c r="C17" s="260" t="s">
        <v>156</v>
      </c>
      <c r="D17" s="261">
        <v>29</v>
      </c>
      <c r="E17" s="262">
        <v>4.1177389353514989E-4</v>
      </c>
      <c r="F17" s="263">
        <v>29190319</v>
      </c>
      <c r="G17" s="262">
        <v>1.6276387970808815E-2</v>
      </c>
      <c r="J17" s="259"/>
      <c r="K17" s="260" t="s">
        <v>157</v>
      </c>
      <c r="L17" s="261">
        <v>95</v>
      </c>
      <c r="M17" s="262">
        <v>1.3489144788220427E-3</v>
      </c>
      <c r="N17" s="263">
        <v>58747819</v>
      </c>
      <c r="O17" s="262">
        <v>3.2757514382862812E-2</v>
      </c>
    </row>
    <row r="18" spans="1:15">
      <c r="A18" s="286"/>
      <c r="B18" s="259"/>
      <c r="C18" s="260" t="s">
        <v>158</v>
      </c>
      <c r="D18" s="261">
        <v>8</v>
      </c>
      <c r="E18" s="262">
        <v>1.1359279821659306E-4</v>
      </c>
      <c r="F18" s="263">
        <v>1148600</v>
      </c>
      <c r="G18" s="262">
        <v>6.4045409107283161E-4</v>
      </c>
      <c r="J18" s="259"/>
      <c r="K18" s="260" t="s">
        <v>159</v>
      </c>
      <c r="L18" s="261">
        <v>142</v>
      </c>
      <c r="M18" s="262">
        <v>2.0162721683445271E-3</v>
      </c>
      <c r="N18" s="263">
        <v>75109302</v>
      </c>
      <c r="O18" s="262">
        <v>4.188060224928157E-2</v>
      </c>
    </row>
    <row r="19" spans="1:15">
      <c r="A19" s="286"/>
      <c r="B19" s="259"/>
      <c r="C19" s="260"/>
      <c r="D19" s="227"/>
      <c r="E19" s="283"/>
      <c r="F19" s="263"/>
      <c r="G19" s="262"/>
      <c r="J19" s="259"/>
      <c r="K19" s="260" t="s">
        <v>160</v>
      </c>
      <c r="L19" s="261">
        <v>1111</v>
      </c>
      <c r="M19" s="262">
        <v>1.5775199852329364E-2</v>
      </c>
      <c r="N19" s="263">
        <v>70464629</v>
      </c>
      <c r="O19" s="262">
        <v>3.929075389080558E-2</v>
      </c>
    </row>
    <row r="20" spans="1:15">
      <c r="A20" s="286"/>
      <c r="B20" s="280" t="s">
        <v>161</v>
      </c>
      <c r="C20" s="256"/>
      <c r="D20" s="253">
        <v>921</v>
      </c>
      <c r="E20" s="257">
        <v>1.3077370894685277E-2</v>
      </c>
      <c r="F20" s="258">
        <v>354030959</v>
      </c>
      <c r="G20" s="254">
        <v>0.19740603870624057</v>
      </c>
      <c r="J20" s="259"/>
      <c r="K20" s="260" t="s">
        <v>162</v>
      </c>
      <c r="L20" s="261">
        <v>48</v>
      </c>
      <c r="M20" s="262">
        <v>6.8155678929955838E-4</v>
      </c>
      <c r="N20" s="263">
        <v>4612100</v>
      </c>
      <c r="O20" s="262">
        <v>2.5716858030968193E-3</v>
      </c>
    </row>
    <row r="21" spans="1:15">
      <c r="A21" s="286"/>
      <c r="B21" s="259"/>
      <c r="C21" s="260" t="s">
        <v>164</v>
      </c>
      <c r="D21" s="261">
        <v>10</v>
      </c>
      <c r="E21" s="262">
        <v>1.4199099777074134E-4</v>
      </c>
      <c r="F21" s="263">
        <v>14078097</v>
      </c>
      <c r="G21" s="262">
        <v>7.8498823073046807E-3</v>
      </c>
      <c r="J21" s="259"/>
      <c r="K21" s="260"/>
      <c r="L21" s="227"/>
      <c r="M21" s="283"/>
      <c r="N21" s="263"/>
      <c r="O21" s="262"/>
    </row>
    <row r="22" spans="1:15">
      <c r="A22" s="286"/>
      <c r="B22" s="259"/>
      <c r="C22" s="260" t="s">
        <v>166</v>
      </c>
      <c r="D22" s="261">
        <v>61</v>
      </c>
      <c r="E22" s="262">
        <v>8.6614508640152214E-4</v>
      </c>
      <c r="F22" s="263">
        <v>116492685</v>
      </c>
      <c r="G22" s="262">
        <v>6.4955786773732094E-2</v>
      </c>
      <c r="J22" s="251" t="s">
        <v>165</v>
      </c>
      <c r="K22" s="252"/>
      <c r="L22" s="253">
        <v>20046</v>
      </c>
      <c r="M22" s="254">
        <v>0.28463515413122809</v>
      </c>
      <c r="N22" s="255">
        <v>349232325</v>
      </c>
      <c r="O22" s="254">
        <v>0.19473034240042375</v>
      </c>
    </row>
    <row r="23" spans="1:15">
      <c r="A23" s="286"/>
      <c r="B23" s="259"/>
      <c r="C23" s="260" t="s">
        <v>168</v>
      </c>
      <c r="D23" s="261">
        <v>411</v>
      </c>
      <c r="E23" s="262">
        <v>5.835830008377469E-3</v>
      </c>
      <c r="F23" s="263">
        <v>67770109</v>
      </c>
      <c r="G23" s="262">
        <v>3.7788301899270176E-2</v>
      </c>
      <c r="J23" s="259"/>
      <c r="K23" s="260" t="s">
        <v>169</v>
      </c>
      <c r="L23" s="261">
        <v>73</v>
      </c>
      <c r="M23" s="262">
        <v>1.0365342837264117E-3</v>
      </c>
      <c r="N23" s="263">
        <v>17814398</v>
      </c>
      <c r="O23" s="262">
        <v>9.9332266055194747E-3</v>
      </c>
    </row>
    <row r="24" spans="1:15">
      <c r="A24" s="286"/>
      <c r="B24" s="259"/>
      <c r="C24" s="260" t="s">
        <v>170</v>
      </c>
      <c r="D24" s="261">
        <v>133</v>
      </c>
      <c r="E24" s="262">
        <v>1.8884802703508599E-3</v>
      </c>
      <c r="F24" s="263">
        <v>3249491</v>
      </c>
      <c r="G24" s="262">
        <v>1.811901275338975E-3</v>
      </c>
      <c r="J24" s="259"/>
      <c r="K24" s="260" t="s">
        <v>171</v>
      </c>
      <c r="L24" s="261">
        <v>214</v>
      </c>
      <c r="M24" s="262">
        <v>3.0386073522938647E-3</v>
      </c>
      <c r="N24" s="263">
        <v>4661273</v>
      </c>
      <c r="O24" s="262">
        <v>2.599104442327469E-3</v>
      </c>
    </row>
    <row r="25" spans="1:15">
      <c r="A25" s="286"/>
      <c r="B25" s="259"/>
      <c r="C25" s="260" t="s">
        <v>172</v>
      </c>
      <c r="D25" s="261">
        <v>9</v>
      </c>
      <c r="E25" s="262">
        <v>1.277918979936672E-4</v>
      </c>
      <c r="F25" s="263">
        <v>3019197</v>
      </c>
      <c r="G25" s="262">
        <v>1.683490397357496E-3</v>
      </c>
      <c r="J25" s="259"/>
      <c r="K25" s="260" t="s">
        <v>173</v>
      </c>
      <c r="L25" s="261">
        <v>13335</v>
      </c>
      <c r="M25" s="262">
        <v>0.18934499552728357</v>
      </c>
      <c r="N25" s="263">
        <v>64718369</v>
      </c>
      <c r="O25" s="262">
        <v>3.608666567439589E-2</v>
      </c>
    </row>
    <row r="26" spans="1:15">
      <c r="A26" s="286"/>
      <c r="B26" s="259"/>
      <c r="C26" s="260" t="s">
        <v>174</v>
      </c>
      <c r="D26" s="261">
        <v>259</v>
      </c>
      <c r="E26" s="262">
        <v>3.6775668422622007E-3</v>
      </c>
      <c r="F26" s="263">
        <v>108195941</v>
      </c>
      <c r="G26" s="262">
        <v>6.0329560378656374E-2</v>
      </c>
      <c r="J26" s="227"/>
      <c r="K26" s="225" t="s">
        <v>175</v>
      </c>
      <c r="L26" s="261">
        <v>13</v>
      </c>
      <c r="M26" s="262">
        <v>1.8458829710196373E-4</v>
      </c>
      <c r="N26" s="263">
        <v>3281968</v>
      </c>
      <c r="O26" s="262">
        <v>1.8300103015585225E-3</v>
      </c>
    </row>
    <row r="27" spans="1:15">
      <c r="A27" s="286"/>
      <c r="B27" s="259"/>
      <c r="C27" s="260" t="s">
        <v>176</v>
      </c>
      <c r="D27" s="261">
        <v>28</v>
      </c>
      <c r="E27" s="262">
        <v>3.9757479375807575E-4</v>
      </c>
      <c r="F27" s="263">
        <v>29084922</v>
      </c>
      <c r="G27" s="262">
        <v>1.6217619087092287E-2</v>
      </c>
      <c r="J27" s="259"/>
      <c r="K27" s="260" t="s">
        <v>177</v>
      </c>
      <c r="L27" s="261">
        <v>84</v>
      </c>
      <c r="M27" s="262">
        <v>1.1927243812742273E-3</v>
      </c>
      <c r="N27" s="263">
        <v>88413030</v>
      </c>
      <c r="O27" s="262">
        <v>4.9298699954418414E-2</v>
      </c>
    </row>
    <row r="28" spans="1:15">
      <c r="A28" s="286"/>
      <c r="B28" s="259"/>
      <c r="C28" s="260" t="s">
        <v>178</v>
      </c>
      <c r="D28" s="261">
        <v>4</v>
      </c>
      <c r="E28" s="262">
        <v>5.6796399108296531E-5</v>
      </c>
      <c r="F28" s="263">
        <v>1299939</v>
      </c>
      <c r="G28" s="262">
        <v>7.2484002324144667E-4</v>
      </c>
      <c r="J28" s="259"/>
      <c r="K28" s="260" t="s">
        <v>179</v>
      </c>
      <c r="L28" s="261">
        <v>3634</v>
      </c>
      <c r="M28" s="262">
        <v>5.1599528589887401E-2</v>
      </c>
      <c r="N28" s="263">
        <v>57017080</v>
      </c>
      <c r="O28" s="262">
        <v>3.17924622558131E-2</v>
      </c>
    </row>
    <row r="29" spans="1:15">
      <c r="A29" s="286"/>
      <c r="B29" s="259"/>
      <c r="C29" s="260" t="s">
        <v>180</v>
      </c>
      <c r="D29" s="261">
        <v>2</v>
      </c>
      <c r="E29" s="262">
        <v>2.8398199554148266E-5</v>
      </c>
      <c r="F29" s="263">
        <v>471119</v>
      </c>
      <c r="G29" s="262">
        <v>2.6269379325451973E-4</v>
      </c>
      <c r="J29" s="259"/>
      <c r="K29" s="265" t="s">
        <v>181</v>
      </c>
      <c r="L29" s="261">
        <v>31</v>
      </c>
      <c r="M29" s="262">
        <v>4.4017209308929816E-4</v>
      </c>
      <c r="N29" s="263">
        <v>29415</v>
      </c>
      <c r="O29" s="262">
        <v>1.6401669065738587E-5</v>
      </c>
    </row>
    <row r="30" spans="1:15">
      <c r="A30" s="286"/>
      <c r="B30" s="266"/>
      <c r="C30" s="267" t="s">
        <v>182</v>
      </c>
      <c r="D30" s="268">
        <v>4</v>
      </c>
      <c r="E30" s="269">
        <v>5.6796399108296531E-5</v>
      </c>
      <c r="F30" s="270">
        <v>10369459</v>
      </c>
      <c r="G30" s="269">
        <v>5.7819627709925067E-3</v>
      </c>
      <c r="J30" s="259"/>
      <c r="K30" s="260" t="s">
        <v>183</v>
      </c>
      <c r="L30" s="261">
        <v>117</v>
      </c>
      <c r="M30" s="262">
        <v>1.6612946739176736E-3</v>
      </c>
      <c r="N30" s="263">
        <v>20170172</v>
      </c>
      <c r="O30" s="262">
        <v>1.1246795381370954E-2</v>
      </c>
    </row>
    <row r="31" spans="1:15">
      <c r="A31" s="286"/>
      <c r="C31" s="292"/>
      <c r="D31" s="292"/>
      <c r="E31" s="292"/>
      <c r="F31" s="292"/>
      <c r="G31" s="292"/>
      <c r="J31" s="259"/>
      <c r="K31" s="260" t="s">
        <v>186</v>
      </c>
      <c r="L31" s="261">
        <v>392</v>
      </c>
      <c r="M31" s="262">
        <v>5.5660471126130606E-3</v>
      </c>
      <c r="N31" s="263">
        <v>34113636</v>
      </c>
      <c r="O31" s="262">
        <v>1.9021606945472249E-2</v>
      </c>
    </row>
    <row r="32" spans="1:15">
      <c r="A32" s="286"/>
      <c r="B32" s="286"/>
      <c r="C32" s="286"/>
      <c r="D32" s="293"/>
      <c r="E32" s="294"/>
      <c r="F32" s="295"/>
      <c r="G32" s="294"/>
      <c r="J32" s="259"/>
      <c r="K32" s="260" t="s">
        <v>187</v>
      </c>
      <c r="L32" s="261">
        <v>15</v>
      </c>
      <c r="M32" s="262">
        <v>2.1298649665611201E-4</v>
      </c>
      <c r="N32" s="263">
        <v>5203914</v>
      </c>
      <c r="O32" s="262">
        <v>2.9016785746919585E-3</v>
      </c>
    </row>
    <row r="33" spans="1:15">
      <c r="A33" s="286"/>
      <c r="J33" s="259"/>
      <c r="K33" s="260" t="s">
        <v>188</v>
      </c>
      <c r="L33" s="261">
        <v>1690</v>
      </c>
      <c r="M33" s="262">
        <v>2.3996478623255286E-2</v>
      </c>
      <c r="N33" s="263">
        <v>3162487</v>
      </c>
      <c r="O33" s="262">
        <v>1.7633882440489692E-3</v>
      </c>
    </row>
    <row r="34" spans="1:15">
      <c r="A34" s="286"/>
      <c r="J34" s="259"/>
      <c r="K34" s="260" t="s">
        <v>189</v>
      </c>
      <c r="L34" s="261">
        <v>448</v>
      </c>
      <c r="M34" s="262">
        <v>6.3611967001292119E-3</v>
      </c>
      <c r="N34" s="263">
        <v>50646583</v>
      </c>
      <c r="O34" s="262">
        <v>2.824030235174101E-2</v>
      </c>
    </row>
    <row r="35" spans="1:15">
      <c r="A35" s="286"/>
      <c r="J35" s="259"/>
      <c r="K35" s="260"/>
      <c r="L35" s="227"/>
      <c r="M35" s="283"/>
      <c r="N35" s="263"/>
      <c r="O35" s="262"/>
    </row>
    <row r="36" spans="1:15">
      <c r="A36" s="286"/>
      <c r="J36" s="251" t="s">
        <v>190</v>
      </c>
      <c r="K36" s="252"/>
      <c r="L36" s="253">
        <v>705</v>
      </c>
      <c r="M36" s="254">
        <v>1.0010365342837264E-2</v>
      </c>
      <c r="N36" s="255">
        <v>78426196</v>
      </c>
      <c r="O36" s="254">
        <v>4.3730087128225438E-2</v>
      </c>
    </row>
    <row r="37" spans="1:15">
      <c r="A37" s="286"/>
      <c r="J37" s="259"/>
      <c r="K37" s="260" t="s">
        <v>193</v>
      </c>
      <c r="L37" s="261">
        <v>705</v>
      </c>
      <c r="M37" s="262">
        <v>1.0010365342837264E-2</v>
      </c>
      <c r="N37" s="263">
        <v>78426196</v>
      </c>
      <c r="O37" s="262">
        <v>4.3730087128225438E-2</v>
      </c>
    </row>
    <row r="38" spans="1:15">
      <c r="A38" s="286"/>
      <c r="J38" s="259"/>
      <c r="K38" s="260"/>
      <c r="L38" s="227"/>
      <c r="M38" s="283"/>
      <c r="N38" s="263"/>
      <c r="O38" s="262"/>
    </row>
    <row r="39" spans="1:15">
      <c r="A39" s="286"/>
      <c r="J39" s="251" t="s">
        <v>198</v>
      </c>
      <c r="K39" s="252"/>
      <c r="L39" s="253">
        <v>44636</v>
      </c>
      <c r="M39" s="254">
        <v>0.63379101764948098</v>
      </c>
      <c r="N39" s="255">
        <v>28702542</v>
      </c>
      <c r="O39" s="254">
        <v>1.6004405753168877E-2</v>
      </c>
    </row>
    <row r="40" spans="1:15">
      <c r="A40" s="286"/>
      <c r="J40" s="259"/>
      <c r="K40" s="260" t="s">
        <v>200</v>
      </c>
      <c r="L40" s="261">
        <v>446</v>
      </c>
      <c r="M40" s="262">
        <v>6.3327985005750638E-3</v>
      </c>
      <c r="N40" s="263">
        <v>874522</v>
      </c>
      <c r="O40" s="262">
        <v>4.8762945553995721E-4</v>
      </c>
    </row>
    <row r="41" spans="1:15">
      <c r="A41" s="286"/>
      <c r="J41" s="259"/>
      <c r="K41" s="260" t="s">
        <v>201</v>
      </c>
      <c r="L41" s="261">
        <v>35083</v>
      </c>
      <c r="M41" s="262">
        <v>0.49814701747909185</v>
      </c>
      <c r="N41" s="263">
        <v>17238716</v>
      </c>
      <c r="O41" s="262">
        <v>9.6122289631226532E-3</v>
      </c>
    </row>
    <row r="42" spans="1:15">
      <c r="A42" s="286"/>
      <c r="J42" s="259"/>
      <c r="K42" s="260" t="s">
        <v>202</v>
      </c>
      <c r="L42" s="261">
        <v>4617</v>
      </c>
      <c r="M42" s="262">
        <v>6.5557243670751275E-2</v>
      </c>
      <c r="N42" s="263">
        <v>9121976</v>
      </c>
      <c r="O42" s="262">
        <v>5.086371972721734E-3</v>
      </c>
    </row>
    <row r="43" spans="1:15">
      <c r="A43" s="286"/>
      <c r="J43" s="266"/>
      <c r="K43" s="267" t="s">
        <v>203</v>
      </c>
      <c r="L43" s="268">
        <v>4490</v>
      </c>
      <c r="M43" s="269">
        <v>6.375395799906286E-2</v>
      </c>
      <c r="N43" s="270">
        <v>1467328</v>
      </c>
      <c r="O43" s="269">
        <v>8.1817536178453406E-4</v>
      </c>
    </row>
    <row r="44" spans="1:15">
      <c r="A44" s="286"/>
    </row>
    <row r="45" spans="1:15">
      <c r="A45" s="286"/>
    </row>
    <row r="46" spans="1:15">
      <c r="A46" s="286"/>
    </row>
    <row r="47" spans="1:15">
      <c r="A47" s="286"/>
    </row>
    <row r="48" spans="1:15">
      <c r="A48" s="286"/>
    </row>
    <row r="49" spans="1:8">
      <c r="A49" s="286"/>
    </row>
    <row r="50" spans="1:8">
      <c r="A50" s="286"/>
    </row>
    <row r="51" spans="1:8">
      <c r="A51" s="286"/>
    </row>
    <row r="52" spans="1:8">
      <c r="A52" s="286"/>
    </row>
    <row r="53" spans="1:8">
      <c r="A53" s="286"/>
      <c r="C53" s="272"/>
    </row>
    <row r="54" spans="1:8">
      <c r="A54" s="286"/>
      <c r="C54" s="272"/>
    </row>
    <row r="55" spans="1:8">
      <c r="A55" s="286"/>
      <c r="C55" s="272"/>
    </row>
    <row r="56" spans="1:8">
      <c r="A56" s="286"/>
    </row>
    <row r="57" spans="1:8" hidden="1">
      <c r="A57" s="286"/>
      <c r="G57" s="273">
        <v>736032618</v>
      </c>
      <c r="H57" t="s">
        <v>205</v>
      </c>
    </row>
    <row r="58" spans="1:8" hidden="1">
      <c r="A58" s="286"/>
      <c r="G58" s="273">
        <v>354030959</v>
      </c>
      <c r="H58" t="s">
        <v>206</v>
      </c>
    </row>
    <row r="59" spans="1:8" hidden="1">
      <c r="A59" s="286"/>
      <c r="G59" s="273">
        <v>28702542</v>
      </c>
      <c r="H59" t="s">
        <v>207</v>
      </c>
    </row>
    <row r="60" spans="1:8" hidden="1">
      <c r="A60" s="286"/>
      <c r="G60" s="273">
        <v>246990401</v>
      </c>
      <c r="H60" t="s">
        <v>208</v>
      </c>
    </row>
    <row r="61" spans="1:8" hidden="1">
      <c r="A61" s="286"/>
      <c r="G61" s="273">
        <v>349232325</v>
      </c>
      <c r="H61" t="s">
        <v>70</v>
      </c>
    </row>
    <row r="62" spans="1:8" hidden="1">
      <c r="A62" s="286"/>
      <c r="G62" s="273">
        <v>78426196</v>
      </c>
      <c r="H62" t="s">
        <v>209</v>
      </c>
    </row>
    <row r="76" spans="3:7">
      <c r="C76" s="272"/>
      <c r="E76" s="222"/>
      <c r="G76" s="222"/>
    </row>
  </sheetData>
  <mergeCells count="16">
    <mergeCell ref="B1:G1"/>
    <mergeCell ref="J1:O1"/>
    <mergeCell ref="B2:G2"/>
    <mergeCell ref="J2:O2"/>
    <mergeCell ref="B3:G3"/>
    <mergeCell ref="J3:O3"/>
    <mergeCell ref="B10:C10"/>
    <mergeCell ref="J10:K10"/>
    <mergeCell ref="B4:G4"/>
    <mergeCell ref="J4:O4"/>
    <mergeCell ref="B6:G6"/>
    <mergeCell ref="J6:O6"/>
    <mergeCell ref="D8:E8"/>
    <mergeCell ref="F8:G8"/>
    <mergeCell ref="L8:M8"/>
    <mergeCell ref="N8:O8"/>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O79"/>
  <sheetViews>
    <sheetView showGridLines="0" workbookViewId="0">
      <selection activeCell="A51" sqref="A51"/>
    </sheetView>
  </sheetViews>
  <sheetFormatPr defaultColWidth="9.140625" defaultRowHeight="15.75"/>
  <cols>
    <col min="1" max="1" width="9.140625" style="222"/>
    <col min="2" max="2" width="4.7109375" style="285" customWidth="1"/>
    <col min="3" max="3" width="43.140625" style="222" customWidth="1"/>
    <col min="4" max="4" width="10.7109375" style="222" customWidth="1"/>
    <col min="5" max="5" width="11.7109375" style="284" customWidth="1"/>
    <col min="6" max="6" width="12.7109375" style="222" customWidth="1"/>
    <col min="7" max="7" width="11.7109375" style="284" customWidth="1"/>
    <col min="8" max="8" width="10" style="222" customWidth="1"/>
    <col min="9" max="9" width="9.140625" style="222"/>
    <col min="10" max="10" width="6.28515625" style="222" customWidth="1"/>
    <col min="11" max="11" width="43.42578125" style="222" bestFit="1" customWidth="1"/>
    <col min="12" max="12" width="11.140625" style="222" bestFit="1" customWidth="1"/>
    <col min="13" max="13" width="12.85546875" style="222" bestFit="1" customWidth="1"/>
    <col min="14" max="14" width="11.140625" style="222" bestFit="1" customWidth="1"/>
    <col min="15" max="15" width="12.85546875" style="222" bestFit="1" customWidth="1"/>
    <col min="16" max="16384" width="9.140625" style="222"/>
  </cols>
  <sheetData>
    <row r="1" spans="2:15">
      <c r="B1" s="1015" t="s">
        <v>138</v>
      </c>
      <c r="C1" s="1015"/>
      <c r="D1" s="1015"/>
      <c r="E1" s="1015"/>
      <c r="F1" s="1015"/>
      <c r="G1" s="1015"/>
      <c r="J1" s="1015" t="s">
        <v>138</v>
      </c>
      <c r="K1" s="1015"/>
      <c r="L1" s="1015"/>
      <c r="M1" s="1015"/>
      <c r="N1" s="1015"/>
      <c r="O1" s="1015"/>
    </row>
    <row r="2" spans="2:15">
      <c r="B2" s="1015" t="s">
        <v>126</v>
      </c>
      <c r="C2" s="1015"/>
      <c r="D2" s="1015"/>
      <c r="E2" s="1015"/>
      <c r="F2" s="1015"/>
      <c r="G2" s="1015"/>
      <c r="J2" s="1015" t="s">
        <v>126</v>
      </c>
      <c r="K2" s="1015"/>
      <c r="L2" s="1015"/>
      <c r="M2" s="1015"/>
      <c r="N2" s="1015"/>
      <c r="O2" s="1015"/>
    </row>
    <row r="3" spans="2:15">
      <c r="B3" s="1014" t="s">
        <v>139</v>
      </c>
      <c r="C3" s="1014"/>
      <c r="D3" s="1014"/>
      <c r="E3" s="1014"/>
      <c r="F3" s="1014"/>
      <c r="G3" s="1014"/>
      <c r="J3" s="1014" t="s">
        <v>139</v>
      </c>
      <c r="K3" s="1014"/>
      <c r="L3" s="1014"/>
      <c r="M3" s="1014"/>
      <c r="N3" s="1014"/>
      <c r="O3" s="1014"/>
    </row>
    <row r="4" spans="2:15">
      <c r="B4" s="1014" t="s">
        <v>69</v>
      </c>
      <c r="C4" s="1014"/>
      <c r="D4" s="1014"/>
      <c r="E4" s="1014"/>
      <c r="F4" s="1014"/>
      <c r="G4" s="1014"/>
      <c r="J4" s="1014" t="s">
        <v>69</v>
      </c>
      <c r="K4" s="1014"/>
      <c r="L4" s="1014"/>
      <c r="M4" s="1014"/>
      <c r="N4" s="1014"/>
      <c r="O4" s="1014"/>
    </row>
    <row r="5" spans="2:15">
      <c r="B5" s="223"/>
      <c r="C5" s="223"/>
      <c r="D5" s="223"/>
      <c r="E5" s="223"/>
      <c r="F5" s="223"/>
      <c r="G5" s="223"/>
      <c r="J5" s="223"/>
      <c r="K5" s="223"/>
      <c r="L5" s="223"/>
      <c r="M5" s="223"/>
      <c r="N5" s="223"/>
      <c r="O5" s="223"/>
    </row>
    <row r="6" spans="2:15">
      <c r="B6" s="1014" t="s">
        <v>122</v>
      </c>
      <c r="C6" s="1014"/>
      <c r="D6" s="1014"/>
      <c r="E6" s="1014"/>
      <c r="F6" s="1014"/>
      <c r="G6" s="1014"/>
      <c r="J6" s="1014" t="s">
        <v>122</v>
      </c>
      <c r="K6" s="1014"/>
      <c r="L6" s="1014"/>
      <c r="M6" s="1014"/>
      <c r="N6" s="1014"/>
      <c r="O6" s="1014"/>
    </row>
    <row r="7" spans="2:15">
      <c r="B7" s="223"/>
      <c r="C7" s="223"/>
      <c r="D7" s="223"/>
      <c r="E7" s="223"/>
      <c r="F7" s="223"/>
      <c r="G7" s="223"/>
      <c r="J7" s="223"/>
      <c r="K7" s="223"/>
      <c r="L7" s="223"/>
      <c r="M7" s="223"/>
      <c r="N7" s="223"/>
      <c r="O7" s="223"/>
    </row>
    <row r="8" spans="2:15">
      <c r="B8" s="275"/>
      <c r="C8" s="276"/>
      <c r="D8" s="1010" t="s">
        <v>140</v>
      </c>
      <c r="E8" s="1011"/>
      <c r="F8" s="1010" t="s">
        <v>141</v>
      </c>
      <c r="G8" s="1011"/>
      <c r="J8" s="275"/>
      <c r="K8" s="276"/>
      <c r="L8" s="1010" t="s">
        <v>140</v>
      </c>
      <c r="M8" s="1011"/>
      <c r="N8" s="1010" t="s">
        <v>141</v>
      </c>
      <c r="O8" s="1011"/>
    </row>
    <row r="9" spans="2:15">
      <c r="B9" s="227"/>
      <c r="C9" s="256"/>
      <c r="D9" s="229"/>
      <c r="E9" s="230"/>
      <c r="F9" s="229" t="s">
        <v>142</v>
      </c>
      <c r="G9" s="230"/>
      <c r="J9" s="227"/>
      <c r="K9" s="256"/>
      <c r="L9" s="229"/>
      <c r="M9" s="230"/>
      <c r="N9" s="229" t="s">
        <v>142</v>
      </c>
      <c r="O9" s="230"/>
    </row>
    <row r="10" spans="2:15">
      <c r="B10" s="1012" t="s">
        <v>143</v>
      </c>
      <c r="C10" s="1013"/>
      <c r="D10" s="229" t="s">
        <v>144</v>
      </c>
      <c r="E10" s="230" t="s">
        <v>80</v>
      </c>
      <c r="F10" s="277" t="s">
        <v>145</v>
      </c>
      <c r="G10" s="230" t="s">
        <v>80</v>
      </c>
      <c r="J10" s="1012" t="s">
        <v>143</v>
      </c>
      <c r="K10" s="1013"/>
      <c r="L10" s="229" t="s">
        <v>144</v>
      </c>
      <c r="M10" s="230" t="s">
        <v>80</v>
      </c>
      <c r="N10" s="277" t="s">
        <v>145</v>
      </c>
      <c r="O10" s="230" t="s">
        <v>80</v>
      </c>
    </row>
    <row r="11" spans="2:15">
      <c r="B11" s="231" t="s">
        <v>204</v>
      </c>
      <c r="C11" s="232"/>
      <c r="D11" s="278">
        <v>199589</v>
      </c>
      <c r="E11" s="234">
        <v>1</v>
      </c>
      <c r="F11" s="235">
        <v>3247022928</v>
      </c>
      <c r="G11" s="234">
        <v>1</v>
      </c>
      <c r="J11" s="236" t="s">
        <v>147</v>
      </c>
      <c r="K11" s="237"/>
      <c r="L11" s="233">
        <v>193493</v>
      </c>
      <c r="M11" s="238">
        <v>0.96945723461713817</v>
      </c>
      <c r="N11" s="239">
        <v>1300357484</v>
      </c>
      <c r="O11" s="238">
        <v>0.40047684073513878</v>
      </c>
    </row>
    <row r="12" spans="2:15">
      <c r="B12" s="236" t="s">
        <v>148</v>
      </c>
      <c r="C12" s="237"/>
      <c r="D12" s="233">
        <v>6096</v>
      </c>
      <c r="E12" s="238">
        <v>3.054276538286178E-2</v>
      </c>
      <c r="F12" s="239">
        <v>1946665444</v>
      </c>
      <c r="G12" s="238">
        <v>0.59952315926486122</v>
      </c>
      <c r="J12" s="241"/>
      <c r="K12" s="242"/>
      <c r="L12" s="243"/>
      <c r="M12" s="244"/>
      <c r="N12" s="245"/>
      <c r="O12" s="244"/>
    </row>
    <row r="13" spans="2:15">
      <c r="B13" s="241"/>
      <c r="C13" s="242"/>
      <c r="D13" s="243"/>
      <c r="E13" s="244"/>
      <c r="F13" s="245"/>
      <c r="G13" s="244"/>
      <c r="J13" s="280" t="s">
        <v>149</v>
      </c>
      <c r="K13" s="271"/>
      <c r="L13" s="253">
        <v>4869</v>
      </c>
      <c r="M13" s="254">
        <v>2.43951319962523E-2</v>
      </c>
      <c r="N13" s="255">
        <v>421390710</v>
      </c>
      <c r="O13" s="254">
        <v>0.12977755911922528</v>
      </c>
    </row>
    <row r="14" spans="2:15">
      <c r="B14" s="280" t="s">
        <v>150</v>
      </c>
      <c r="C14" s="281"/>
      <c r="D14" s="253">
        <v>3872</v>
      </c>
      <c r="E14" s="254">
        <v>1.9399866726122181E-2</v>
      </c>
      <c r="F14" s="255">
        <v>1438470511</v>
      </c>
      <c r="G14" s="254">
        <v>0.44301211999325923</v>
      </c>
      <c r="J14" s="280"/>
      <c r="K14" s="260" t="s">
        <v>151</v>
      </c>
      <c r="L14" s="261">
        <v>37</v>
      </c>
      <c r="M14" s="262">
        <v>1.8538095786841961E-4</v>
      </c>
      <c r="N14" s="263">
        <v>24582491</v>
      </c>
      <c r="O14" s="262">
        <v>7.5707783853382138E-3</v>
      </c>
    </row>
    <row r="15" spans="2:15">
      <c r="B15" s="280"/>
      <c r="C15" s="260" t="s">
        <v>152</v>
      </c>
      <c r="D15" s="261">
        <v>3686</v>
      </c>
      <c r="E15" s="262">
        <v>1.8467951640621476E-2</v>
      </c>
      <c r="F15" s="263">
        <v>1049527846</v>
      </c>
      <c r="G15" s="262">
        <v>0.3232277286832882</v>
      </c>
      <c r="J15" s="280"/>
      <c r="K15" s="260" t="s">
        <v>153</v>
      </c>
      <c r="L15" s="261">
        <v>638</v>
      </c>
      <c r="M15" s="262">
        <v>3.1965689491905867E-3</v>
      </c>
      <c r="N15" s="263">
        <v>41400101</v>
      </c>
      <c r="O15" s="262">
        <v>1.2750172055452761E-2</v>
      </c>
    </row>
    <row r="16" spans="2:15">
      <c r="B16" s="280"/>
      <c r="C16" s="260" t="s">
        <v>154</v>
      </c>
      <c r="D16" s="261">
        <v>117</v>
      </c>
      <c r="E16" s="262">
        <v>5.8620465055689438E-4</v>
      </c>
      <c r="F16" s="263">
        <v>41251996</v>
      </c>
      <c r="G16" s="262">
        <v>1.2704559504114471E-2</v>
      </c>
      <c r="J16" s="280"/>
      <c r="K16" s="260" t="s">
        <v>155</v>
      </c>
      <c r="L16" s="261">
        <v>6</v>
      </c>
      <c r="M16" s="262">
        <v>3.0061776951635613E-5</v>
      </c>
      <c r="N16" s="263">
        <v>337274</v>
      </c>
      <c r="O16" s="262">
        <v>1.0387176422180164E-4</v>
      </c>
    </row>
    <row r="17" spans="2:15">
      <c r="B17" s="280"/>
      <c r="C17" s="260" t="s">
        <v>156</v>
      </c>
      <c r="D17" s="261">
        <v>66</v>
      </c>
      <c r="E17" s="262">
        <v>3.3067954646799174E-4</v>
      </c>
      <c r="F17" s="263">
        <v>347659652</v>
      </c>
      <c r="G17" s="262">
        <v>0.10707027936329989</v>
      </c>
      <c r="J17" s="280"/>
      <c r="K17" s="260" t="s">
        <v>157</v>
      </c>
      <c r="L17" s="261">
        <v>123</v>
      </c>
      <c r="M17" s="262">
        <v>6.1626642750853007E-4</v>
      </c>
      <c r="N17" s="263">
        <v>55524292</v>
      </c>
      <c r="O17" s="262">
        <v>1.7100061573695178E-2</v>
      </c>
    </row>
    <row r="18" spans="2:15">
      <c r="B18" s="280"/>
      <c r="C18" s="260" t="s">
        <v>158</v>
      </c>
      <c r="D18" s="261">
        <v>3</v>
      </c>
      <c r="E18" s="262">
        <v>1.5030888475817806E-5</v>
      </c>
      <c r="F18" s="263">
        <v>31017</v>
      </c>
      <c r="G18" s="262">
        <v>9.552442556697585E-6</v>
      </c>
      <c r="J18" s="280"/>
      <c r="K18" s="260" t="s">
        <v>159</v>
      </c>
      <c r="L18" s="261">
        <v>176</v>
      </c>
      <c r="M18" s="262">
        <v>8.8181212391464454E-4</v>
      </c>
      <c r="N18" s="263">
        <v>85739709</v>
      </c>
      <c r="O18" s="262">
        <v>2.6405637071620948E-2</v>
      </c>
    </row>
    <row r="19" spans="2:15">
      <c r="B19" s="280"/>
      <c r="C19" s="260"/>
      <c r="D19" s="227"/>
      <c r="E19" s="262"/>
      <c r="F19" s="264"/>
      <c r="G19" s="262"/>
      <c r="J19" s="280"/>
      <c r="K19" s="260" t="s">
        <v>160</v>
      </c>
      <c r="L19" s="261">
        <v>3799</v>
      </c>
      <c r="M19" s="262">
        <v>1.9034115106543948E-2</v>
      </c>
      <c r="N19" s="263">
        <v>207058821</v>
      </c>
      <c r="O19" s="262">
        <v>6.3768820113487043E-2</v>
      </c>
    </row>
    <row r="20" spans="2:15">
      <c r="B20" s="280" t="s">
        <v>161</v>
      </c>
      <c r="C20" s="281"/>
      <c r="D20" s="253">
        <v>2224</v>
      </c>
      <c r="E20" s="254">
        <v>1.11428986567396E-2</v>
      </c>
      <c r="F20" s="255">
        <v>508194933</v>
      </c>
      <c r="G20" s="254">
        <v>0.15651103927160195</v>
      </c>
      <c r="J20" s="280"/>
      <c r="K20" s="260" t="s">
        <v>162</v>
      </c>
      <c r="L20" s="261">
        <v>90</v>
      </c>
      <c r="M20" s="262">
        <v>4.5092665427453417E-4</v>
      </c>
      <c r="N20" s="263">
        <v>6748022</v>
      </c>
      <c r="O20" s="262">
        <v>2.0782181554093418E-3</v>
      </c>
    </row>
    <row r="21" spans="2:15">
      <c r="B21" s="280"/>
      <c r="C21" s="260" t="s">
        <v>164</v>
      </c>
      <c r="D21" s="261">
        <v>33</v>
      </c>
      <c r="E21" s="262">
        <v>1.6533977323399587E-4</v>
      </c>
      <c r="F21" s="263">
        <v>58557896</v>
      </c>
      <c r="G21" s="262">
        <v>1.803433400332306E-2</v>
      </c>
      <c r="J21" s="280"/>
      <c r="K21" s="260"/>
      <c r="L21" s="227"/>
      <c r="M21" s="262"/>
      <c r="N21" s="264"/>
      <c r="O21" s="262"/>
    </row>
    <row r="22" spans="2:15">
      <c r="B22" s="280"/>
      <c r="C22" s="260" t="s">
        <v>166</v>
      </c>
      <c r="D22" s="261">
        <v>121</v>
      </c>
      <c r="E22" s="262">
        <v>6.0624583519131817E-4</v>
      </c>
      <c r="F22" s="263">
        <v>23192643</v>
      </c>
      <c r="G22" s="262">
        <v>7.1427407549245368E-3</v>
      </c>
      <c r="J22" s="280" t="s">
        <v>165</v>
      </c>
      <c r="K22" s="271"/>
      <c r="L22" s="253">
        <v>44597</v>
      </c>
      <c r="M22" s="254">
        <v>0.22344417778534889</v>
      </c>
      <c r="N22" s="255">
        <v>643516806</v>
      </c>
      <c r="O22" s="254">
        <v>0.19818671449800124</v>
      </c>
    </row>
    <row r="23" spans="2:15">
      <c r="B23" s="280"/>
      <c r="C23" s="260" t="s">
        <v>168</v>
      </c>
      <c r="D23" s="261">
        <v>1466</v>
      </c>
      <c r="E23" s="262">
        <v>7.3450941685163007E-3</v>
      </c>
      <c r="F23" s="263">
        <v>152191560</v>
      </c>
      <c r="G23" s="262">
        <v>4.6871107280336395E-2</v>
      </c>
      <c r="J23" s="280"/>
      <c r="K23" s="260" t="s">
        <v>169</v>
      </c>
      <c r="L23" s="261">
        <v>96</v>
      </c>
      <c r="M23" s="262">
        <v>4.809884312261698E-4</v>
      </c>
      <c r="N23" s="263">
        <v>22913918</v>
      </c>
      <c r="O23" s="262">
        <v>7.0569005849656259E-3</v>
      </c>
    </row>
    <row r="24" spans="2:15">
      <c r="B24" s="280"/>
      <c r="C24" s="260" t="s">
        <v>172</v>
      </c>
      <c r="D24" s="261">
        <v>2</v>
      </c>
      <c r="E24" s="262">
        <v>1.002059231721187E-5</v>
      </c>
      <c r="F24" s="263">
        <v>1147749</v>
      </c>
      <c r="G24" s="262">
        <v>3.5347733152810064E-4</v>
      </c>
      <c r="J24" s="280"/>
      <c r="K24" s="260" t="s">
        <v>171</v>
      </c>
      <c r="L24" s="261">
        <v>223</v>
      </c>
      <c r="M24" s="262">
        <v>1.1172960433691234E-3</v>
      </c>
      <c r="N24" s="263">
        <v>5871304</v>
      </c>
      <c r="O24" s="262">
        <v>1.8082114386597274E-3</v>
      </c>
    </row>
    <row r="25" spans="2:15">
      <c r="B25" s="280"/>
      <c r="C25" s="260" t="s">
        <v>174</v>
      </c>
      <c r="D25" s="261">
        <v>478</v>
      </c>
      <c r="E25" s="262">
        <v>2.3949215638136372E-3</v>
      </c>
      <c r="F25" s="263">
        <v>164354505</v>
      </c>
      <c r="G25" s="262">
        <v>5.0616983201049945E-2</v>
      </c>
      <c r="J25" s="280"/>
      <c r="K25" s="260" t="s">
        <v>173</v>
      </c>
      <c r="L25" s="261">
        <v>6151</v>
      </c>
      <c r="M25" s="262">
        <v>3.0818331671585108E-2</v>
      </c>
      <c r="N25" s="263">
        <v>53326091</v>
      </c>
      <c r="O25" s="262">
        <v>1.6423071897692494E-2</v>
      </c>
    </row>
    <row r="26" spans="2:15">
      <c r="B26" s="280"/>
      <c r="C26" s="260" t="s">
        <v>176</v>
      </c>
      <c r="D26" s="261">
        <v>42</v>
      </c>
      <c r="E26" s="262">
        <v>2.1043243866144927E-4</v>
      </c>
      <c r="F26" s="263">
        <v>28222949</v>
      </c>
      <c r="G26" s="262">
        <v>8.6919463230842944E-3</v>
      </c>
      <c r="J26" s="280"/>
      <c r="K26" s="225" t="s">
        <v>175</v>
      </c>
      <c r="L26" s="261">
        <v>4</v>
      </c>
      <c r="M26" s="262">
        <v>2.0041184634423741E-5</v>
      </c>
      <c r="N26" s="263">
        <v>3874523</v>
      </c>
      <c r="O26" s="262">
        <v>1.1932539701487441E-3</v>
      </c>
    </row>
    <row r="27" spans="2:15">
      <c r="B27" s="280"/>
      <c r="C27" s="260" t="s">
        <v>178</v>
      </c>
      <c r="D27" s="261">
        <v>34</v>
      </c>
      <c r="E27" s="262">
        <v>1.7035006939260179E-4</v>
      </c>
      <c r="F27" s="263">
        <v>63929855</v>
      </c>
      <c r="G27" s="262">
        <v>1.9688759955685784E-2</v>
      </c>
      <c r="J27" s="280"/>
      <c r="K27" s="260" t="s">
        <v>177</v>
      </c>
      <c r="L27" s="261">
        <v>100</v>
      </c>
      <c r="M27" s="262">
        <v>5.0102961586059348E-4</v>
      </c>
      <c r="N27" s="263">
        <v>79096359</v>
      </c>
      <c r="O27" s="262">
        <v>2.4359655214605865E-2</v>
      </c>
    </row>
    <row r="28" spans="2:15">
      <c r="B28" s="280"/>
      <c r="C28" s="260" t="s">
        <v>180</v>
      </c>
      <c r="D28" s="261">
        <v>45</v>
      </c>
      <c r="E28" s="262">
        <v>2.2546332713726708E-4</v>
      </c>
      <c r="F28" s="263">
        <v>8800720</v>
      </c>
      <c r="G28" s="262">
        <v>2.7103966295121892E-3</v>
      </c>
      <c r="J28" s="280"/>
      <c r="K28" s="260" t="s">
        <v>179</v>
      </c>
      <c r="L28" s="261">
        <v>32633</v>
      </c>
      <c r="M28" s="262">
        <v>0.16350099454378747</v>
      </c>
      <c r="N28" s="263">
        <v>367990565</v>
      </c>
      <c r="O28" s="262">
        <v>0.11333168048390202</v>
      </c>
    </row>
    <row r="29" spans="2:15">
      <c r="B29" s="296"/>
      <c r="C29" s="267" t="s">
        <v>182</v>
      </c>
      <c r="D29" s="268">
        <v>3</v>
      </c>
      <c r="E29" s="269">
        <v>1.5030888475817806E-5</v>
      </c>
      <c r="F29" s="270">
        <v>7797056</v>
      </c>
      <c r="G29" s="269">
        <v>2.4012937921576633E-3</v>
      </c>
      <c r="J29" s="280"/>
      <c r="K29" s="265" t="s">
        <v>181</v>
      </c>
      <c r="L29" s="261">
        <v>68</v>
      </c>
      <c r="M29" s="262">
        <v>3.4070013878520359E-4</v>
      </c>
      <c r="N29" s="263">
        <v>90145</v>
      </c>
      <c r="O29" s="262">
        <v>2.7762354008237542E-5</v>
      </c>
    </row>
    <row r="30" spans="2:15">
      <c r="B30" s="222"/>
      <c r="E30" s="222"/>
      <c r="G30" s="222"/>
      <c r="J30" s="280"/>
      <c r="K30" s="260" t="s">
        <v>183</v>
      </c>
      <c r="L30" s="261">
        <v>124</v>
      </c>
      <c r="M30" s="262">
        <v>6.2127672366713601E-4</v>
      </c>
      <c r="N30" s="263">
        <v>26426079</v>
      </c>
      <c r="O30" s="262">
        <v>8.1385563286666147E-3</v>
      </c>
    </row>
    <row r="31" spans="2:15">
      <c r="B31" s="224"/>
      <c r="C31" s="225"/>
      <c r="D31" s="225"/>
      <c r="E31" s="297"/>
      <c r="F31" s="225"/>
      <c r="G31" s="297"/>
      <c r="J31" s="280"/>
      <c r="K31" s="260" t="s">
        <v>186</v>
      </c>
      <c r="L31" s="261">
        <v>243</v>
      </c>
      <c r="M31" s="262">
        <v>1.2175019665412422E-3</v>
      </c>
      <c r="N31" s="263">
        <v>10025158</v>
      </c>
      <c r="O31" s="262">
        <v>3.0874922112653466E-3</v>
      </c>
    </row>
    <row r="32" spans="2:15">
      <c r="B32" s="224"/>
      <c r="C32" s="225"/>
      <c r="D32" s="225"/>
      <c r="E32" s="297"/>
      <c r="F32" s="225"/>
      <c r="G32" s="297"/>
      <c r="J32" s="280"/>
      <c r="K32" s="260" t="s">
        <v>187</v>
      </c>
      <c r="L32" s="261">
        <v>11</v>
      </c>
      <c r="M32" s="262">
        <v>5.5113257744665284E-5</v>
      </c>
      <c r="N32" s="263">
        <v>3381435</v>
      </c>
      <c r="O32" s="262">
        <v>1.041395479791943E-3</v>
      </c>
    </row>
    <row r="33" spans="2:15">
      <c r="B33" s="224"/>
      <c r="C33" s="225"/>
      <c r="D33" s="225"/>
      <c r="E33" s="297"/>
      <c r="F33" s="225"/>
      <c r="G33" s="297"/>
      <c r="J33" s="280"/>
      <c r="K33" s="260" t="s">
        <v>188</v>
      </c>
      <c r="L33" s="261">
        <v>4299</v>
      </c>
      <c r="M33" s="262">
        <v>2.1539263185846914E-2</v>
      </c>
      <c r="N33" s="263">
        <v>10642952</v>
      </c>
      <c r="O33" s="262">
        <v>3.2777569595283129E-3</v>
      </c>
    </row>
    <row r="34" spans="2:15">
      <c r="B34" s="224"/>
      <c r="C34" s="225"/>
      <c r="D34" s="225"/>
      <c r="E34" s="297"/>
      <c r="F34" s="225"/>
      <c r="G34" s="297"/>
      <c r="J34" s="280"/>
      <c r="K34" s="260" t="s">
        <v>189</v>
      </c>
      <c r="L34" s="261">
        <v>645</v>
      </c>
      <c r="M34" s="262">
        <v>3.2316410223008282E-3</v>
      </c>
      <c r="N34" s="263">
        <v>59878277</v>
      </c>
      <c r="O34" s="262">
        <v>1.8440977574766298E-2</v>
      </c>
    </row>
    <row r="35" spans="2:15">
      <c r="B35" s="224"/>
      <c r="C35" s="225"/>
      <c r="D35" s="225"/>
      <c r="E35" s="297"/>
      <c r="F35" s="225"/>
      <c r="G35" s="297"/>
      <c r="J35" s="280"/>
      <c r="K35" s="260"/>
      <c r="L35" s="227"/>
      <c r="M35" s="262"/>
      <c r="N35" s="264"/>
      <c r="O35" s="262"/>
    </row>
    <row r="36" spans="2:15">
      <c r="B36" s="224"/>
      <c r="C36" s="225"/>
      <c r="D36" s="225"/>
      <c r="E36" s="297"/>
      <c r="F36" s="225"/>
      <c r="G36" s="297"/>
      <c r="J36" s="280" t="s">
        <v>190</v>
      </c>
      <c r="K36" s="271"/>
      <c r="L36" s="253">
        <v>2390</v>
      </c>
      <c r="M36" s="254">
        <v>1.1974607819068185E-2</v>
      </c>
      <c r="N36" s="255">
        <v>138323737</v>
      </c>
      <c r="O36" s="254">
        <v>4.2600172547965449E-2</v>
      </c>
    </row>
    <row r="37" spans="2:15">
      <c r="B37" s="224"/>
      <c r="C37" s="225"/>
      <c r="D37" s="225"/>
      <c r="E37" s="297"/>
      <c r="F37" s="225"/>
      <c r="G37" s="297"/>
      <c r="J37" s="280"/>
      <c r="K37" s="260" t="s">
        <v>191</v>
      </c>
      <c r="L37" s="261">
        <v>1</v>
      </c>
      <c r="M37" s="262">
        <v>5.0102961586059351E-6</v>
      </c>
      <c r="N37" s="263">
        <v>4124</v>
      </c>
      <c r="O37" s="262">
        <v>1.2700865042983151E-6</v>
      </c>
    </row>
    <row r="38" spans="2:15">
      <c r="B38" s="224"/>
      <c r="C38" s="225"/>
      <c r="D38" s="225"/>
      <c r="E38" s="297"/>
      <c r="F38" s="225"/>
      <c r="G38" s="297"/>
      <c r="J38" s="280"/>
      <c r="K38" s="260" t="s">
        <v>193</v>
      </c>
      <c r="L38" s="261">
        <v>2388</v>
      </c>
      <c r="M38" s="262">
        <v>1.1964587226750973E-2</v>
      </c>
      <c r="N38" s="263">
        <v>138295013</v>
      </c>
      <c r="O38" s="262">
        <v>4.2591326290751713E-2</v>
      </c>
    </row>
    <row r="39" spans="2:15">
      <c r="B39" s="224"/>
      <c r="C39" s="225"/>
      <c r="D39" s="225"/>
      <c r="E39" s="297"/>
      <c r="F39" s="225"/>
      <c r="G39" s="297"/>
      <c r="J39" s="280"/>
      <c r="K39" s="260" t="s">
        <v>194</v>
      </c>
      <c r="L39" s="261">
        <v>1</v>
      </c>
      <c r="M39" s="262">
        <v>5.0102961586059351E-6</v>
      </c>
      <c r="N39" s="263">
        <v>24600</v>
      </c>
      <c r="O39" s="262">
        <v>7.5761707094419385E-6</v>
      </c>
    </row>
    <row r="40" spans="2:15">
      <c r="B40" s="224"/>
      <c r="C40" s="225"/>
      <c r="D40" s="225"/>
      <c r="E40" s="297"/>
      <c r="F40" s="225"/>
      <c r="G40" s="297"/>
      <c r="J40" s="280"/>
      <c r="K40" s="260"/>
      <c r="L40" s="227"/>
      <c r="M40" s="262"/>
      <c r="N40" s="263"/>
      <c r="O40" s="262"/>
    </row>
    <row r="41" spans="2:15">
      <c r="B41" s="224"/>
      <c r="C41" s="225"/>
      <c r="D41" s="225"/>
      <c r="E41" s="297"/>
      <c r="F41" s="225"/>
      <c r="G41" s="297"/>
      <c r="J41" s="280" t="s">
        <v>198</v>
      </c>
      <c r="K41" s="271"/>
      <c r="L41" s="253">
        <v>141637</v>
      </c>
      <c r="M41" s="254">
        <v>0.70964331701646888</v>
      </c>
      <c r="N41" s="255">
        <v>97126231</v>
      </c>
      <c r="O41" s="254">
        <v>2.9912394569946814E-2</v>
      </c>
    </row>
    <row r="42" spans="2:15">
      <c r="B42" s="224"/>
      <c r="C42" s="225"/>
      <c r="D42" s="225"/>
      <c r="E42" s="297"/>
      <c r="F42" s="225"/>
      <c r="G42" s="297"/>
      <c r="J42" s="280"/>
      <c r="K42" s="260" t="s">
        <v>199</v>
      </c>
      <c r="L42" s="261">
        <v>2</v>
      </c>
      <c r="M42" s="262">
        <v>1.002059231721187E-5</v>
      </c>
      <c r="N42" s="263">
        <v>4845</v>
      </c>
      <c r="O42" s="262">
        <v>1.4921360604571623E-6</v>
      </c>
    </row>
    <row r="43" spans="2:15">
      <c r="B43" s="224"/>
      <c r="C43" s="225"/>
      <c r="D43" s="225"/>
      <c r="E43" s="297"/>
      <c r="F43" s="225"/>
      <c r="G43" s="297"/>
      <c r="J43" s="280"/>
      <c r="K43" s="260" t="s">
        <v>200</v>
      </c>
      <c r="L43" s="261">
        <v>1363</v>
      </c>
      <c r="M43" s="262">
        <v>6.8290336641798899E-3</v>
      </c>
      <c r="N43" s="263">
        <v>3492958</v>
      </c>
      <c r="O43" s="262">
        <v>1.0757417109313371E-3</v>
      </c>
    </row>
    <row r="44" spans="2:15">
      <c r="B44" s="224"/>
      <c r="C44" s="225"/>
      <c r="D44" s="225"/>
      <c r="E44" s="297"/>
      <c r="F44" s="225"/>
      <c r="G44" s="297"/>
      <c r="J44" s="280"/>
      <c r="K44" s="260" t="s">
        <v>201</v>
      </c>
      <c r="L44" s="261">
        <v>113982</v>
      </c>
      <c r="M44" s="262">
        <v>0.5710835767502217</v>
      </c>
      <c r="N44" s="263">
        <v>52278261</v>
      </c>
      <c r="O44" s="262">
        <v>1.6100367062144749E-2</v>
      </c>
    </row>
    <row r="45" spans="2:15">
      <c r="B45" s="224"/>
      <c r="C45" s="225"/>
      <c r="D45" s="225"/>
      <c r="E45" s="297"/>
      <c r="F45" s="225"/>
      <c r="G45" s="297"/>
      <c r="J45" s="280"/>
      <c r="K45" s="260" t="s">
        <v>202</v>
      </c>
      <c r="L45" s="261">
        <v>14796</v>
      </c>
      <c r="M45" s="262">
        <v>7.4132341962733411E-2</v>
      </c>
      <c r="N45" s="263">
        <v>37157207</v>
      </c>
      <c r="O45" s="262">
        <v>1.1443469240571991E-2</v>
      </c>
    </row>
    <row r="46" spans="2:15">
      <c r="B46" s="224"/>
      <c r="C46" s="225"/>
      <c r="D46" s="225"/>
      <c r="E46" s="297"/>
      <c r="F46" s="225"/>
      <c r="G46" s="297"/>
      <c r="J46" s="296"/>
      <c r="K46" s="267" t="s">
        <v>203</v>
      </c>
      <c r="L46" s="268">
        <v>11494</v>
      </c>
      <c r="M46" s="269">
        <v>5.7588344047016619E-2</v>
      </c>
      <c r="N46" s="270">
        <v>4192960</v>
      </c>
      <c r="O46" s="269">
        <v>1.2913244202382792E-3</v>
      </c>
    </row>
    <row r="47" spans="2:15">
      <c r="B47" s="224"/>
      <c r="C47" s="225"/>
      <c r="D47" s="225"/>
      <c r="E47" s="297"/>
      <c r="F47" s="225"/>
      <c r="G47" s="297"/>
    </row>
    <row r="48" spans="2:15">
      <c r="B48" s="224"/>
      <c r="C48" s="225"/>
      <c r="D48" s="225"/>
      <c r="E48" s="297"/>
      <c r="F48" s="225"/>
      <c r="G48" s="297"/>
    </row>
    <row r="54" spans="2:8">
      <c r="B54" s="222"/>
      <c r="C54" s="272"/>
    </row>
    <row r="55" spans="2:8">
      <c r="B55" s="222"/>
      <c r="C55" s="272"/>
    </row>
    <row r="56" spans="2:8">
      <c r="B56" s="222"/>
      <c r="C56" s="272"/>
    </row>
    <row r="58" spans="2:8" hidden="1"/>
    <row r="59" spans="2:8" hidden="1">
      <c r="B59" s="222"/>
      <c r="G59" s="273">
        <v>1438470511</v>
      </c>
      <c r="H59" t="s">
        <v>205</v>
      </c>
    </row>
    <row r="60" spans="2:8" hidden="1">
      <c r="B60" s="222"/>
      <c r="G60" s="273">
        <v>508194933</v>
      </c>
      <c r="H60" t="s">
        <v>206</v>
      </c>
    </row>
    <row r="61" spans="2:8" hidden="1">
      <c r="B61" s="222"/>
      <c r="G61" s="273">
        <v>97126231</v>
      </c>
      <c r="H61" t="s">
        <v>207</v>
      </c>
    </row>
    <row r="62" spans="2:8" hidden="1">
      <c r="B62" s="222"/>
      <c r="G62" s="273">
        <v>421390710</v>
      </c>
      <c r="H62" t="s">
        <v>208</v>
      </c>
    </row>
    <row r="63" spans="2:8" hidden="1">
      <c r="B63" s="222"/>
      <c r="G63" s="273">
        <v>643516806</v>
      </c>
      <c r="H63" t="s">
        <v>70</v>
      </c>
    </row>
    <row r="64" spans="2:8" hidden="1">
      <c r="B64" s="222"/>
      <c r="G64" s="273">
        <v>138323737</v>
      </c>
      <c r="H64" t="s">
        <v>209</v>
      </c>
    </row>
    <row r="76" spans="2:7">
      <c r="B76" s="225"/>
      <c r="C76" s="225"/>
      <c r="D76" s="225"/>
      <c r="E76" s="225"/>
      <c r="F76" s="225"/>
      <c r="G76" s="225"/>
    </row>
    <row r="77" spans="2:7">
      <c r="B77" s="225"/>
      <c r="C77" s="225"/>
      <c r="D77" s="225"/>
      <c r="E77" s="225"/>
      <c r="F77" s="225"/>
      <c r="G77" s="225"/>
    </row>
    <row r="78" spans="2:7">
      <c r="B78" s="222"/>
      <c r="C78" s="272"/>
      <c r="E78" s="222"/>
      <c r="G78" s="222"/>
    </row>
    <row r="79" spans="2:7">
      <c r="B79" s="222"/>
      <c r="C79" s="272"/>
      <c r="E79" s="222"/>
      <c r="G79" s="222"/>
    </row>
  </sheetData>
  <mergeCells count="16">
    <mergeCell ref="B1:G1"/>
    <mergeCell ref="J1:O1"/>
    <mergeCell ref="B2:G2"/>
    <mergeCell ref="J2:O2"/>
    <mergeCell ref="B3:G3"/>
    <mergeCell ref="J3:O3"/>
    <mergeCell ref="B10:C10"/>
    <mergeCell ref="J10:K10"/>
    <mergeCell ref="B4:G4"/>
    <mergeCell ref="J4:O4"/>
    <mergeCell ref="B6:G6"/>
    <mergeCell ref="J6:O6"/>
    <mergeCell ref="D8:E8"/>
    <mergeCell ref="F8:G8"/>
    <mergeCell ref="L8:M8"/>
    <mergeCell ref="N8:O8"/>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1:O64"/>
  <sheetViews>
    <sheetView showGridLines="0" workbookViewId="0">
      <selection activeCell="A52" sqref="A52"/>
    </sheetView>
  </sheetViews>
  <sheetFormatPr defaultColWidth="9.140625" defaultRowHeight="15.75"/>
  <cols>
    <col min="1" max="1" width="9.140625" style="222"/>
    <col min="2" max="2" width="4.7109375" style="222" customWidth="1"/>
    <col min="3" max="3" width="41.5703125" style="222" customWidth="1"/>
    <col min="4" max="4" width="10.7109375" style="222" customWidth="1"/>
    <col min="5" max="5" width="11.7109375" style="222" customWidth="1"/>
    <col min="6" max="6" width="16" style="222" bestFit="1" customWidth="1"/>
    <col min="7" max="7" width="11.7109375" style="222" customWidth="1"/>
    <col min="8" max="9" width="9.140625" style="222"/>
    <col min="10" max="10" width="6.42578125" style="222" customWidth="1"/>
    <col min="11" max="11" width="43.42578125" style="222" bestFit="1" customWidth="1"/>
    <col min="12" max="12" width="11.140625" style="222" bestFit="1" customWidth="1"/>
    <col min="13" max="13" width="12.85546875" style="222" bestFit="1" customWidth="1"/>
    <col min="14" max="14" width="11.140625" style="222" bestFit="1" customWidth="1"/>
    <col min="15" max="15" width="12.85546875" style="222" bestFit="1" customWidth="1"/>
    <col min="16" max="16384" width="9.140625" style="222"/>
  </cols>
  <sheetData>
    <row r="1" spans="2:15">
      <c r="B1" s="1015" t="s">
        <v>138</v>
      </c>
      <c r="C1" s="1015"/>
      <c r="D1" s="1015"/>
      <c r="E1" s="1015"/>
      <c r="F1" s="1015"/>
      <c r="G1" s="1015"/>
      <c r="J1" s="1015" t="s">
        <v>138</v>
      </c>
      <c r="K1" s="1015"/>
      <c r="L1" s="1015"/>
      <c r="M1" s="1015"/>
      <c r="N1" s="1015"/>
      <c r="O1" s="1015"/>
    </row>
    <row r="2" spans="2:15">
      <c r="B2" s="1015" t="s">
        <v>126</v>
      </c>
      <c r="C2" s="985"/>
      <c r="D2" s="985"/>
      <c r="E2" s="985"/>
      <c r="F2" s="985"/>
      <c r="G2" s="985"/>
      <c r="J2" s="1015" t="s">
        <v>126</v>
      </c>
      <c r="K2" s="1015"/>
      <c r="L2" s="1015"/>
      <c r="M2" s="1015"/>
      <c r="N2" s="1015"/>
      <c r="O2" s="1015"/>
    </row>
    <row r="3" spans="2:15">
      <c r="B3" s="1014" t="s">
        <v>139</v>
      </c>
      <c r="C3" s="1014"/>
      <c r="D3" s="1014"/>
      <c r="E3" s="1014"/>
      <c r="F3" s="1014"/>
      <c r="G3" s="1014"/>
      <c r="J3" s="1014" t="s">
        <v>139</v>
      </c>
      <c r="K3" s="1014"/>
      <c r="L3" s="1014"/>
      <c r="M3" s="1014"/>
      <c r="N3" s="1014"/>
      <c r="O3" s="1014"/>
    </row>
    <row r="4" spans="2:15">
      <c r="B4" s="1014" t="s">
        <v>69</v>
      </c>
      <c r="C4" s="1014"/>
      <c r="D4" s="1014"/>
      <c r="E4" s="1014"/>
      <c r="F4" s="1014"/>
      <c r="G4" s="1014"/>
      <c r="J4" s="1014" t="s">
        <v>69</v>
      </c>
      <c r="K4" s="1014"/>
      <c r="L4" s="1014"/>
      <c r="M4" s="1014"/>
      <c r="N4" s="1014"/>
      <c r="O4" s="1014"/>
    </row>
    <row r="5" spans="2:15">
      <c r="B5" s="223"/>
      <c r="C5" s="223"/>
      <c r="D5" s="223"/>
      <c r="E5" s="223"/>
      <c r="F5" s="223"/>
      <c r="G5" s="223"/>
      <c r="J5" s="223"/>
      <c r="K5" s="223"/>
      <c r="L5" s="223"/>
      <c r="M5" s="223"/>
      <c r="N5" s="223"/>
      <c r="O5" s="223"/>
    </row>
    <row r="6" spans="2:15">
      <c r="B6" s="1014" t="s">
        <v>123</v>
      </c>
      <c r="C6" s="1014"/>
      <c r="D6" s="1014"/>
      <c r="E6" s="1014"/>
      <c r="F6" s="1014"/>
      <c r="G6" s="1014"/>
      <c r="J6" s="1014" t="s">
        <v>123</v>
      </c>
      <c r="K6" s="1014"/>
      <c r="L6" s="1014"/>
      <c r="M6" s="1014"/>
      <c r="N6" s="1014"/>
      <c r="O6" s="1014"/>
    </row>
    <row r="7" spans="2:15">
      <c r="B7" s="223"/>
      <c r="C7" s="223"/>
      <c r="D7" s="223"/>
      <c r="E7" s="223"/>
      <c r="F7" s="223"/>
      <c r="G7" s="223"/>
      <c r="J7" s="223"/>
      <c r="K7" s="223"/>
      <c r="L7" s="223"/>
      <c r="M7" s="223"/>
      <c r="N7" s="223"/>
      <c r="O7" s="223"/>
    </row>
    <row r="8" spans="2:15">
      <c r="B8" s="275"/>
      <c r="C8" s="276"/>
      <c r="D8" s="1010" t="s">
        <v>140</v>
      </c>
      <c r="E8" s="1011"/>
      <c r="F8" s="1010" t="s">
        <v>141</v>
      </c>
      <c r="G8" s="1011"/>
      <c r="J8" s="275"/>
      <c r="K8" s="276"/>
      <c r="L8" s="1010" t="s">
        <v>140</v>
      </c>
      <c r="M8" s="1011"/>
      <c r="N8" s="1010" t="s">
        <v>141</v>
      </c>
      <c r="O8" s="1011"/>
    </row>
    <row r="9" spans="2:15">
      <c r="B9" s="227"/>
      <c r="C9" s="256"/>
      <c r="D9" s="229"/>
      <c r="E9" s="230"/>
      <c r="F9" s="229" t="s">
        <v>142</v>
      </c>
      <c r="G9" s="230"/>
      <c r="J9" s="227"/>
      <c r="K9" s="256"/>
      <c r="L9" s="229"/>
      <c r="M9" s="230"/>
      <c r="N9" s="229" t="s">
        <v>142</v>
      </c>
      <c r="O9" s="230"/>
    </row>
    <row r="10" spans="2:15">
      <c r="B10" s="1016" t="s">
        <v>143</v>
      </c>
      <c r="C10" s="1017"/>
      <c r="D10" s="229" t="s">
        <v>144</v>
      </c>
      <c r="E10" s="230" t="s">
        <v>80</v>
      </c>
      <c r="F10" s="277" t="s">
        <v>145</v>
      </c>
      <c r="G10" s="230" t="s">
        <v>80</v>
      </c>
      <c r="J10" s="1016" t="s">
        <v>143</v>
      </c>
      <c r="K10" s="1017"/>
      <c r="L10" s="229" t="s">
        <v>144</v>
      </c>
      <c r="M10" s="230" t="s">
        <v>80</v>
      </c>
      <c r="N10" s="277" t="s">
        <v>145</v>
      </c>
      <c r="O10" s="230" t="s">
        <v>80</v>
      </c>
    </row>
    <row r="11" spans="2:15">
      <c r="B11" s="231" t="s">
        <v>204</v>
      </c>
      <c r="C11" s="232"/>
      <c r="D11" s="278">
        <v>243516</v>
      </c>
      <c r="E11" s="234">
        <v>1</v>
      </c>
      <c r="F11" s="235">
        <v>4072740319</v>
      </c>
      <c r="G11" s="234">
        <v>1</v>
      </c>
      <c r="J11" s="236" t="s">
        <v>147</v>
      </c>
      <c r="K11" s="237"/>
      <c r="L11" s="233">
        <v>237439</v>
      </c>
      <c r="M11" s="238">
        <v>0.97504476091920034</v>
      </c>
      <c r="N11" s="239">
        <v>1085445140</v>
      </c>
      <c r="O11" s="238">
        <v>0.26651469403443689</v>
      </c>
    </row>
    <row r="12" spans="2:15">
      <c r="B12" s="236" t="s">
        <v>148</v>
      </c>
      <c r="C12" s="237"/>
      <c r="D12" s="233">
        <v>6077</v>
      </c>
      <c r="E12" s="238">
        <v>2.4955239080799618E-2</v>
      </c>
      <c r="F12" s="239">
        <v>2987295179</v>
      </c>
      <c r="G12" s="238">
        <v>0.73348530596556305</v>
      </c>
      <c r="J12" s="241"/>
      <c r="K12" s="242"/>
      <c r="L12" s="243"/>
      <c r="M12" s="244"/>
      <c r="N12" s="245"/>
      <c r="O12" s="244"/>
    </row>
    <row r="13" spans="2:15">
      <c r="B13" s="241"/>
      <c r="C13" s="242"/>
      <c r="D13" s="243"/>
      <c r="E13" s="244"/>
      <c r="F13" s="245"/>
      <c r="G13" s="244"/>
      <c r="J13" s="251" t="s">
        <v>149</v>
      </c>
      <c r="K13" s="252"/>
      <c r="L13" s="253">
        <v>3446</v>
      </c>
      <c r="M13" s="254">
        <v>1.4151020877478276E-2</v>
      </c>
      <c r="N13" s="255">
        <v>364182759</v>
      </c>
      <c r="O13" s="254">
        <v>8.9419587421527433E-2</v>
      </c>
    </row>
    <row r="14" spans="2:15">
      <c r="B14" s="280" t="s">
        <v>150</v>
      </c>
      <c r="C14" s="256"/>
      <c r="D14" s="253">
        <v>4010</v>
      </c>
      <c r="E14" s="254">
        <v>1.646709045812185E-2</v>
      </c>
      <c r="F14" s="258">
        <v>1238201192</v>
      </c>
      <c r="G14" s="254">
        <v>0.30402164022675071</v>
      </c>
      <c r="J14" s="298"/>
      <c r="K14" s="260" t="s">
        <v>151</v>
      </c>
      <c r="L14" s="261">
        <v>83</v>
      </c>
      <c r="M14" s="262">
        <v>3.4084002693868167E-4</v>
      </c>
      <c r="N14" s="263">
        <v>33796927</v>
      </c>
      <c r="O14" s="262">
        <v>8.2983260293645056E-3</v>
      </c>
    </row>
    <row r="15" spans="2:15">
      <c r="B15" s="298"/>
      <c r="C15" s="260" t="s">
        <v>152</v>
      </c>
      <c r="D15" s="299">
        <v>3687</v>
      </c>
      <c r="E15" s="262">
        <v>1.5140688907505051E-2</v>
      </c>
      <c r="F15" s="263">
        <v>971640479</v>
      </c>
      <c r="G15" s="262">
        <v>0.23857167481735533</v>
      </c>
      <c r="J15" s="298"/>
      <c r="K15" s="260" t="s">
        <v>153</v>
      </c>
      <c r="L15" s="261">
        <v>485</v>
      </c>
      <c r="M15" s="262">
        <v>1.9916555790995254E-3</v>
      </c>
      <c r="N15" s="263">
        <v>24965347</v>
      </c>
      <c r="O15" s="262">
        <v>6.1298646720814908E-3</v>
      </c>
    </row>
    <row r="16" spans="2:15">
      <c r="B16" s="298"/>
      <c r="C16" s="260" t="s">
        <v>154</v>
      </c>
      <c r="D16" s="299">
        <v>199</v>
      </c>
      <c r="E16" s="262">
        <v>8.1719476338310416E-4</v>
      </c>
      <c r="F16" s="263">
        <v>27153242</v>
      </c>
      <c r="G16" s="262">
        <v>6.6670693128470975E-3</v>
      </c>
      <c r="J16" s="298"/>
      <c r="K16" s="260" t="s">
        <v>155</v>
      </c>
      <c r="L16" s="261">
        <v>20</v>
      </c>
      <c r="M16" s="262">
        <v>8.2130126973176305E-5</v>
      </c>
      <c r="N16" s="263">
        <v>995722</v>
      </c>
      <c r="O16" s="262">
        <v>2.4448452933637676E-4</v>
      </c>
    </row>
    <row r="17" spans="2:15">
      <c r="B17" s="298"/>
      <c r="C17" s="260" t="s">
        <v>156</v>
      </c>
      <c r="D17" s="299">
        <v>102</v>
      </c>
      <c r="E17" s="262">
        <v>4.1886364756319914E-4</v>
      </c>
      <c r="F17" s="263">
        <v>239109778</v>
      </c>
      <c r="G17" s="262">
        <v>5.8709802067299442E-2</v>
      </c>
      <c r="J17" s="298"/>
      <c r="K17" s="260" t="s">
        <v>157</v>
      </c>
      <c r="L17" s="261">
        <v>83</v>
      </c>
      <c r="M17" s="262">
        <v>3.4084002693868167E-4</v>
      </c>
      <c r="N17" s="263">
        <v>47856658</v>
      </c>
      <c r="O17" s="262">
        <v>1.1750481064736895E-2</v>
      </c>
    </row>
    <row r="18" spans="2:15">
      <c r="B18" s="298"/>
      <c r="C18" s="260" t="s">
        <v>158</v>
      </c>
      <c r="D18" s="299">
        <v>22</v>
      </c>
      <c r="E18" s="262">
        <v>9.0343139670493933E-5</v>
      </c>
      <c r="F18" s="263">
        <v>297693</v>
      </c>
      <c r="G18" s="262">
        <v>7.3094029248860632E-5</v>
      </c>
      <c r="J18" s="298"/>
      <c r="K18" s="260" t="s">
        <v>159</v>
      </c>
      <c r="L18" s="261">
        <v>191</v>
      </c>
      <c r="M18" s="262">
        <v>7.8434271259383371E-4</v>
      </c>
      <c r="N18" s="263">
        <v>76412518</v>
      </c>
      <c r="O18" s="262">
        <v>1.8761942086885114E-2</v>
      </c>
    </row>
    <row r="19" spans="2:15">
      <c r="B19" s="298"/>
      <c r="C19" s="260"/>
      <c r="D19" s="227"/>
      <c r="E19" s="262"/>
      <c r="F19" s="263"/>
      <c r="G19" s="262"/>
      <c r="J19" s="298"/>
      <c r="K19" s="260" t="s">
        <v>160</v>
      </c>
      <c r="L19" s="261">
        <v>2467</v>
      </c>
      <c r="M19" s="262">
        <v>1.0130751162141297E-2</v>
      </c>
      <c r="N19" s="263">
        <v>170705138</v>
      </c>
      <c r="O19" s="262">
        <v>4.1914073726633784E-2</v>
      </c>
    </row>
    <row r="20" spans="2:15">
      <c r="B20" s="280" t="s">
        <v>161</v>
      </c>
      <c r="C20" s="256"/>
      <c r="D20" s="253">
        <v>2067</v>
      </c>
      <c r="E20" s="254">
        <v>8.4881486226777714E-3</v>
      </c>
      <c r="F20" s="258">
        <v>1749093987</v>
      </c>
      <c r="G20" s="254">
        <v>0.42946366573881234</v>
      </c>
      <c r="J20" s="298"/>
      <c r="K20" s="260" t="s">
        <v>162</v>
      </c>
      <c r="L20" s="261">
        <v>117</v>
      </c>
      <c r="M20" s="262">
        <v>4.8046124279308138E-4</v>
      </c>
      <c r="N20" s="263">
        <v>9450449</v>
      </c>
      <c r="O20" s="262">
        <v>2.3204153124892616E-3</v>
      </c>
    </row>
    <row r="21" spans="2:15">
      <c r="B21" s="298"/>
      <c r="C21" s="260" t="s">
        <v>164</v>
      </c>
      <c r="D21" s="299">
        <v>7</v>
      </c>
      <c r="E21" s="262">
        <v>2.8745544440611704E-5</v>
      </c>
      <c r="F21" s="263">
        <v>7664959</v>
      </c>
      <c r="G21" s="262">
        <v>1.8820151543278397E-3</v>
      </c>
      <c r="J21" s="298"/>
      <c r="K21" s="260"/>
      <c r="L21" s="227"/>
      <c r="M21" s="262"/>
      <c r="N21" s="264"/>
      <c r="O21" s="262"/>
    </row>
    <row r="22" spans="2:15">
      <c r="B22" s="298"/>
      <c r="C22" s="260" t="s">
        <v>166</v>
      </c>
      <c r="D22" s="299">
        <v>112</v>
      </c>
      <c r="E22" s="262">
        <v>4.5992871104978727E-4</v>
      </c>
      <c r="F22" s="263">
        <v>89309344</v>
      </c>
      <c r="G22" s="262">
        <v>2.1928563327093871E-2</v>
      </c>
      <c r="J22" s="251" t="s">
        <v>165</v>
      </c>
      <c r="K22" s="252"/>
      <c r="L22" s="253">
        <v>19208</v>
      </c>
      <c r="M22" s="254">
        <v>7.8877773945038518E-2</v>
      </c>
      <c r="N22" s="255">
        <v>306527884</v>
      </c>
      <c r="O22" s="254">
        <v>7.5263301853544962E-2</v>
      </c>
    </row>
    <row r="23" spans="2:15">
      <c r="B23" s="298"/>
      <c r="C23" s="260" t="s">
        <v>168</v>
      </c>
      <c r="D23" s="299">
        <v>1225</v>
      </c>
      <c r="E23" s="262">
        <v>5.0304702771070487E-3</v>
      </c>
      <c r="F23" s="263">
        <v>223677585</v>
      </c>
      <c r="G23" s="262">
        <v>5.4920659673907385E-2</v>
      </c>
      <c r="J23" s="298"/>
      <c r="K23" s="260" t="s">
        <v>167</v>
      </c>
      <c r="L23" s="261">
        <v>2</v>
      </c>
      <c r="M23" s="262">
        <v>8.2130126973176295E-6</v>
      </c>
      <c r="N23" s="263">
        <v>160</v>
      </c>
      <c r="O23" s="262">
        <v>3.9285588441171618E-8</v>
      </c>
    </row>
    <row r="24" spans="2:15">
      <c r="B24" s="298"/>
      <c r="C24" s="260" t="s">
        <v>170</v>
      </c>
      <c r="D24" s="299">
        <v>123</v>
      </c>
      <c r="E24" s="262">
        <v>5.0510028088503428E-4</v>
      </c>
      <c r="F24" s="263">
        <v>15777562</v>
      </c>
      <c r="G24" s="262">
        <v>3.8739425458566784E-3</v>
      </c>
      <c r="J24" s="298"/>
      <c r="K24" s="260" t="s">
        <v>169</v>
      </c>
      <c r="L24" s="261">
        <v>18</v>
      </c>
      <c r="M24" s="262">
        <v>7.3917114275858664E-5</v>
      </c>
      <c r="N24" s="263">
        <v>7174338</v>
      </c>
      <c r="O24" s="262">
        <v>1.7615505625366143E-3</v>
      </c>
    </row>
    <row r="25" spans="2:15">
      <c r="B25" s="298"/>
      <c r="C25" s="260" t="s">
        <v>172</v>
      </c>
      <c r="D25" s="299">
        <v>2</v>
      </c>
      <c r="E25" s="262">
        <v>8.2130126973176295E-6</v>
      </c>
      <c r="F25" s="263">
        <v>1501112</v>
      </c>
      <c r="G25" s="262">
        <v>3.6857542647565004E-4</v>
      </c>
      <c r="J25" s="298"/>
      <c r="K25" s="260" t="s">
        <v>171</v>
      </c>
      <c r="L25" s="261">
        <v>7</v>
      </c>
      <c r="M25" s="262">
        <v>2.8745544440611704E-5</v>
      </c>
      <c r="N25" s="263">
        <v>117045</v>
      </c>
      <c r="O25" s="262">
        <v>2.8738635619355823E-5</v>
      </c>
    </row>
    <row r="26" spans="2:15">
      <c r="B26" s="298"/>
      <c r="C26" s="260" t="s">
        <v>174</v>
      </c>
      <c r="D26" s="299">
        <v>260</v>
      </c>
      <c r="E26" s="262">
        <v>1.0676916506512919E-3</v>
      </c>
      <c r="F26" s="263">
        <v>57477134</v>
      </c>
      <c r="G26" s="262">
        <v>1.4112643944387951E-2</v>
      </c>
      <c r="J26" s="298"/>
      <c r="K26" s="260" t="s">
        <v>173</v>
      </c>
      <c r="L26" s="261">
        <v>443</v>
      </c>
      <c r="M26" s="262">
        <v>1.8191823124558552E-3</v>
      </c>
      <c r="N26" s="263">
        <v>13950775</v>
      </c>
      <c r="O26" s="262">
        <v>3.4254025317836624E-3</v>
      </c>
    </row>
    <row r="27" spans="2:15">
      <c r="B27" s="298"/>
      <c r="C27" s="260" t="s">
        <v>176</v>
      </c>
      <c r="D27" s="299">
        <v>74</v>
      </c>
      <c r="E27" s="262">
        <v>3.0388146980075232E-4</v>
      </c>
      <c r="F27" s="263">
        <v>78173884</v>
      </c>
      <c r="G27" s="262">
        <v>1.9194418960449319E-2</v>
      </c>
      <c r="J27" s="298"/>
      <c r="K27" s="260" t="s">
        <v>177</v>
      </c>
      <c r="L27" s="261">
        <v>30</v>
      </c>
      <c r="M27" s="262">
        <v>1.2319519045976446E-4</v>
      </c>
      <c r="N27" s="263">
        <v>43486819</v>
      </c>
      <c r="O27" s="262">
        <v>1.0677532961560763E-2</v>
      </c>
    </row>
    <row r="28" spans="2:15">
      <c r="B28" s="298"/>
      <c r="C28" s="260" t="s">
        <v>178</v>
      </c>
      <c r="D28" s="299">
        <v>200</v>
      </c>
      <c r="E28" s="262">
        <v>8.2130126973176305E-4</v>
      </c>
      <c r="F28" s="263">
        <v>60375764</v>
      </c>
      <c r="G28" s="262">
        <v>1.4824358852033159E-2</v>
      </c>
      <c r="J28" s="298"/>
      <c r="K28" s="260" t="s">
        <v>179</v>
      </c>
      <c r="L28" s="261">
        <v>16835</v>
      </c>
      <c r="M28" s="262">
        <v>6.9133034379671152E-2</v>
      </c>
      <c r="N28" s="263">
        <v>190596680</v>
      </c>
      <c r="O28" s="262">
        <v>4.6798142054585531E-2</v>
      </c>
    </row>
    <row r="29" spans="2:15">
      <c r="B29" s="298"/>
      <c r="C29" s="260" t="s">
        <v>180</v>
      </c>
      <c r="D29" s="299">
        <v>56</v>
      </c>
      <c r="E29" s="262">
        <v>2.2996435552489363E-4</v>
      </c>
      <c r="F29" s="263">
        <v>1131733184</v>
      </c>
      <c r="G29" s="262">
        <v>0.27788002557400471</v>
      </c>
      <c r="J29" s="298"/>
      <c r="K29" s="265" t="s">
        <v>181</v>
      </c>
      <c r="L29" s="261">
        <v>96</v>
      </c>
      <c r="M29" s="262">
        <v>3.9422460947124624E-4</v>
      </c>
      <c r="N29" s="263">
        <v>112976</v>
      </c>
      <c r="O29" s="262">
        <v>2.7739553998311279E-5</v>
      </c>
    </row>
    <row r="30" spans="2:15">
      <c r="B30" s="300"/>
      <c r="C30" s="267" t="s">
        <v>182</v>
      </c>
      <c r="D30" s="301">
        <v>8</v>
      </c>
      <c r="E30" s="269">
        <v>3.2852050789270518E-5</v>
      </c>
      <c r="F30" s="270">
        <v>83403459</v>
      </c>
      <c r="G30" s="269">
        <v>2.0478462280275816E-2</v>
      </c>
      <c r="J30" s="298"/>
      <c r="K30" s="260" t="s">
        <v>183</v>
      </c>
      <c r="L30" s="261">
        <v>15</v>
      </c>
      <c r="M30" s="262">
        <v>6.1597595229882229E-5</v>
      </c>
      <c r="N30" s="263">
        <v>16638924</v>
      </c>
      <c r="O30" s="262">
        <v>4.0854370022995815E-3</v>
      </c>
    </row>
    <row r="31" spans="2:15">
      <c r="J31" s="298"/>
      <c r="K31" s="260" t="s">
        <v>185</v>
      </c>
      <c r="L31" s="261">
        <v>1</v>
      </c>
      <c r="M31" s="262">
        <v>4.1065063486588147E-6</v>
      </c>
      <c r="N31" s="263">
        <v>12415</v>
      </c>
      <c r="O31" s="262">
        <v>3.04831612810716E-6</v>
      </c>
    </row>
    <row r="32" spans="2:15">
      <c r="J32" s="298"/>
      <c r="K32" s="260" t="s">
        <v>186</v>
      </c>
      <c r="L32" s="261">
        <v>25</v>
      </c>
      <c r="M32" s="262">
        <v>1.0266265871647038E-4</v>
      </c>
      <c r="N32" s="263">
        <v>13422408</v>
      </c>
      <c r="O32" s="262">
        <v>3.2956699786093088E-3</v>
      </c>
    </row>
    <row r="33" spans="10:15">
      <c r="J33" s="298"/>
      <c r="K33" s="260" t="s">
        <v>187</v>
      </c>
      <c r="L33" s="261">
        <v>8</v>
      </c>
      <c r="M33" s="262">
        <v>3.2852050789270518E-5</v>
      </c>
      <c r="N33" s="263">
        <v>3724134</v>
      </c>
      <c r="O33" s="262">
        <v>9.144049726485888E-4</v>
      </c>
    </row>
    <row r="34" spans="10:15">
      <c r="J34" s="298"/>
      <c r="K34" s="260" t="s">
        <v>188</v>
      </c>
      <c r="L34" s="261">
        <v>1693</v>
      </c>
      <c r="M34" s="262">
        <v>6.9523152482793742E-3</v>
      </c>
      <c r="N34" s="263">
        <v>5157294</v>
      </c>
      <c r="O34" s="262">
        <v>1.2662958097132734E-3</v>
      </c>
    </row>
    <row r="35" spans="10:15">
      <c r="J35" s="298"/>
      <c r="K35" s="260" t="s">
        <v>189</v>
      </c>
      <c r="L35" s="261">
        <v>35</v>
      </c>
      <c r="M35" s="262">
        <v>1.4372772220305852E-4</v>
      </c>
      <c r="N35" s="263">
        <v>12133916</v>
      </c>
      <c r="O35" s="262">
        <v>2.9793001884734207E-3</v>
      </c>
    </row>
    <row r="36" spans="10:15">
      <c r="J36" s="298"/>
      <c r="K36" s="260"/>
      <c r="L36" s="227"/>
      <c r="M36" s="262"/>
      <c r="N36" s="264"/>
      <c r="O36" s="262"/>
    </row>
    <row r="37" spans="10:15">
      <c r="J37" s="251" t="s">
        <v>190</v>
      </c>
      <c r="K37" s="252"/>
      <c r="L37" s="253">
        <v>2219</v>
      </c>
      <c r="M37" s="254">
        <v>9.1123375876739111E-3</v>
      </c>
      <c r="N37" s="255">
        <v>260014796</v>
      </c>
      <c r="O37" s="254">
        <v>6.3842714151694971E-2</v>
      </c>
    </row>
    <row r="38" spans="10:15">
      <c r="J38" s="298"/>
      <c r="K38" s="260" t="s">
        <v>193</v>
      </c>
      <c r="L38" s="261">
        <v>2094</v>
      </c>
      <c r="M38" s="262">
        <v>8.5990242940915586E-3</v>
      </c>
      <c r="N38" s="263">
        <v>249388145</v>
      </c>
      <c r="O38" s="262">
        <v>6.1233500166107693E-2</v>
      </c>
    </row>
    <row r="39" spans="10:15">
      <c r="J39" s="298"/>
      <c r="K39" s="260" t="s">
        <v>194</v>
      </c>
      <c r="L39" s="261">
        <v>5</v>
      </c>
      <c r="M39" s="262">
        <v>2.0532531743294076E-5</v>
      </c>
      <c r="N39" s="263">
        <v>607464</v>
      </c>
      <c r="O39" s="262">
        <v>1.4915362935517422E-4</v>
      </c>
    </row>
    <row r="40" spans="10:15">
      <c r="J40" s="298"/>
      <c r="K40" s="260" t="s">
        <v>195</v>
      </c>
      <c r="L40" s="261">
        <v>120</v>
      </c>
      <c r="M40" s="262">
        <v>4.9278076183905783E-4</v>
      </c>
      <c r="N40" s="263">
        <v>10019187</v>
      </c>
      <c r="O40" s="262">
        <v>2.4600603562321059E-3</v>
      </c>
    </row>
    <row r="41" spans="10:15">
      <c r="J41" s="298"/>
      <c r="K41" s="260"/>
      <c r="L41" s="227"/>
      <c r="M41" s="262"/>
      <c r="N41" s="264"/>
      <c r="O41" s="262"/>
    </row>
    <row r="42" spans="10:15">
      <c r="J42" s="251" t="s">
        <v>198</v>
      </c>
      <c r="K42" s="252"/>
      <c r="L42" s="253">
        <v>212566</v>
      </c>
      <c r="M42" s="254">
        <v>0.87290362850900971</v>
      </c>
      <c r="N42" s="255">
        <v>154719701</v>
      </c>
      <c r="O42" s="254">
        <v>3.798909060766955E-2</v>
      </c>
    </row>
    <row r="43" spans="10:15">
      <c r="J43" s="298"/>
      <c r="K43" s="260" t="s">
        <v>199</v>
      </c>
      <c r="L43" s="261">
        <v>1</v>
      </c>
      <c r="M43" s="262">
        <v>4.1065063486588147E-6</v>
      </c>
      <c r="N43" s="263">
        <v>300</v>
      </c>
      <c r="O43" s="262">
        <v>7.3660478327196783E-8</v>
      </c>
    </row>
    <row r="44" spans="10:15">
      <c r="J44" s="298"/>
      <c r="K44" s="260" t="s">
        <v>200</v>
      </c>
      <c r="L44" s="261">
        <v>1838</v>
      </c>
      <c r="M44" s="262">
        <v>7.5477586688349023E-3</v>
      </c>
      <c r="N44" s="263">
        <v>4513625</v>
      </c>
      <c r="O44" s="262">
        <v>1.1082525882986452E-3</v>
      </c>
    </row>
    <row r="45" spans="10:15">
      <c r="J45" s="298"/>
      <c r="K45" s="260" t="s">
        <v>201</v>
      </c>
      <c r="L45" s="261">
        <v>163443</v>
      </c>
      <c r="M45" s="262">
        <v>0.67117971714384272</v>
      </c>
      <c r="N45" s="263">
        <v>82171140</v>
      </c>
      <c r="O45" s="262">
        <v>2.0175884923636842E-2</v>
      </c>
    </row>
    <row r="46" spans="10:15">
      <c r="J46" s="298"/>
      <c r="K46" s="260" t="s">
        <v>202</v>
      </c>
      <c r="L46" s="261">
        <v>24081</v>
      </c>
      <c r="M46" s="262">
        <v>9.8888779382052927E-2</v>
      </c>
      <c r="N46" s="263">
        <v>59658868</v>
      </c>
      <c r="O46" s="262">
        <v>1.4648335844463645E-2</v>
      </c>
    </row>
    <row r="47" spans="10:15">
      <c r="J47" s="287"/>
      <c r="K47" s="267" t="s">
        <v>203</v>
      </c>
      <c r="L47" s="268">
        <v>23203</v>
      </c>
      <c r="M47" s="269">
        <v>9.5283266807930492E-2</v>
      </c>
      <c r="N47" s="270">
        <v>8375768</v>
      </c>
      <c r="O47" s="269">
        <v>2.0565435907920946E-3</v>
      </c>
    </row>
    <row r="53" spans="3:8">
      <c r="C53" s="272"/>
    </row>
    <row r="54" spans="3:8">
      <c r="C54" s="272"/>
    </row>
    <row r="55" spans="3:8">
      <c r="C55" s="272"/>
    </row>
    <row r="57" spans="3:8" hidden="1"/>
    <row r="58" spans="3:8" hidden="1">
      <c r="G58" s="273">
        <v>1238201192</v>
      </c>
      <c r="H58" t="s">
        <v>205</v>
      </c>
    </row>
    <row r="59" spans="3:8" hidden="1">
      <c r="G59" s="273">
        <v>1749093987</v>
      </c>
      <c r="H59" t="s">
        <v>206</v>
      </c>
    </row>
    <row r="60" spans="3:8" hidden="1">
      <c r="G60" s="273">
        <v>154719701</v>
      </c>
      <c r="H60" t="s">
        <v>207</v>
      </c>
    </row>
    <row r="61" spans="3:8" hidden="1">
      <c r="G61" s="273">
        <v>364182759</v>
      </c>
      <c r="H61" t="s">
        <v>208</v>
      </c>
    </row>
    <row r="62" spans="3:8" hidden="1">
      <c r="G62" s="273">
        <v>306527884</v>
      </c>
      <c r="H62" t="s">
        <v>70</v>
      </c>
    </row>
    <row r="63" spans="3:8" hidden="1">
      <c r="G63" s="273">
        <v>260014796</v>
      </c>
      <c r="H63" t="s">
        <v>209</v>
      </c>
    </row>
    <row r="64" spans="3:8" hidden="1"/>
  </sheetData>
  <mergeCells count="16">
    <mergeCell ref="B1:G1"/>
    <mergeCell ref="J1:O1"/>
    <mergeCell ref="B2:G2"/>
    <mergeCell ref="J2:O2"/>
    <mergeCell ref="B3:G3"/>
    <mergeCell ref="J3:O3"/>
    <mergeCell ref="B10:C10"/>
    <mergeCell ref="J10:K10"/>
    <mergeCell ref="B4:G4"/>
    <mergeCell ref="J4:O4"/>
    <mergeCell ref="B6:G6"/>
    <mergeCell ref="J6:O6"/>
    <mergeCell ref="D8:E8"/>
    <mergeCell ref="F8:G8"/>
    <mergeCell ref="L8:M8"/>
    <mergeCell ref="N8:O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I51"/>
  <sheetViews>
    <sheetView showGridLines="0" workbookViewId="0">
      <selection activeCell="J49" sqref="J49"/>
    </sheetView>
  </sheetViews>
  <sheetFormatPr defaultRowHeight="15"/>
  <cols>
    <col min="2" max="2" width="12.7109375" customWidth="1"/>
    <col min="3" max="3" width="16.28515625" customWidth="1"/>
    <col min="4" max="8" width="11.7109375" customWidth="1"/>
    <col min="9" max="9" width="1.5703125" customWidth="1"/>
  </cols>
  <sheetData>
    <row r="2" spans="2:9" ht="15.75" thickBot="1"/>
    <row r="3" spans="2:9" ht="15.75" thickTop="1">
      <c r="B3" s="3"/>
      <c r="C3" s="4"/>
      <c r="D3" s="4"/>
      <c r="E3" s="4"/>
      <c r="F3" s="4"/>
      <c r="G3" s="4"/>
      <c r="H3" s="4"/>
      <c r="I3" s="5"/>
    </row>
    <row r="4" spans="2:9" ht="18">
      <c r="B4" s="991" t="s">
        <v>24</v>
      </c>
      <c r="C4" s="992"/>
      <c r="D4" s="992"/>
      <c r="E4" s="992"/>
      <c r="F4" s="992"/>
      <c r="G4" s="992"/>
      <c r="H4" s="992"/>
      <c r="I4" s="993"/>
    </row>
    <row r="5" spans="2:9">
      <c r="B5" s="994" t="s">
        <v>25</v>
      </c>
      <c r="C5" s="995"/>
      <c r="D5" s="995"/>
      <c r="E5" s="995"/>
      <c r="F5" s="995"/>
      <c r="G5" s="995"/>
      <c r="H5" s="995"/>
      <c r="I5" s="996"/>
    </row>
    <row r="6" spans="2:9" ht="16.5" thickBot="1">
      <c r="B6" s="6"/>
      <c r="C6" s="7"/>
      <c r="D6" s="8"/>
      <c r="E6" s="7"/>
      <c r="F6" s="7"/>
      <c r="G6" s="7"/>
      <c r="H6" s="7"/>
      <c r="I6" s="9"/>
    </row>
    <row r="7" spans="2:9" ht="16.5" thickTop="1">
      <c r="B7" s="10"/>
      <c r="C7" s="11"/>
      <c r="D7" s="12"/>
      <c r="E7" s="11"/>
      <c r="F7" s="11"/>
      <c r="G7" s="11"/>
      <c r="H7" s="11"/>
      <c r="I7" s="13"/>
    </row>
    <row r="8" spans="2:9" ht="15.75">
      <c r="B8" s="14"/>
      <c r="C8" s="15"/>
      <c r="D8" s="12"/>
      <c r="E8" s="15"/>
      <c r="F8" s="15"/>
      <c r="G8" s="986" t="s">
        <v>26</v>
      </c>
      <c r="H8" s="986"/>
      <c r="I8" s="16"/>
    </row>
    <row r="9" spans="2:9" ht="15.75">
      <c r="B9" s="17"/>
      <c r="C9" s="18"/>
      <c r="D9" s="986" t="s">
        <v>27</v>
      </c>
      <c r="E9" s="986"/>
      <c r="F9" s="19"/>
      <c r="G9" s="986" t="s">
        <v>28</v>
      </c>
      <c r="H9" s="986"/>
      <c r="I9" s="16"/>
    </row>
    <row r="10" spans="2:9" ht="15.75">
      <c r="B10" s="20" t="s">
        <v>29</v>
      </c>
      <c r="C10" s="18"/>
      <c r="D10" s="21" t="s">
        <v>30</v>
      </c>
      <c r="E10" s="22" t="s">
        <v>31</v>
      </c>
      <c r="F10" s="18"/>
      <c r="G10" s="23" t="s">
        <v>32</v>
      </c>
      <c r="H10" s="22" t="s">
        <v>31</v>
      </c>
      <c r="I10" s="16"/>
    </row>
    <row r="11" spans="2:9" ht="15.75">
      <c r="B11" s="14"/>
      <c r="C11" s="12"/>
      <c r="D11" s="12"/>
      <c r="E11" s="7"/>
      <c r="F11" s="12"/>
      <c r="G11" s="12"/>
      <c r="H11" s="7"/>
      <c r="I11" s="16"/>
    </row>
    <row r="12" spans="2:9" ht="15.75">
      <c r="B12" s="24" t="s">
        <v>33</v>
      </c>
      <c r="C12" s="25"/>
      <c r="D12" s="26">
        <v>1102031</v>
      </c>
      <c r="E12" s="27">
        <v>5.9230956001687929E-3</v>
      </c>
      <c r="F12" s="26"/>
      <c r="G12" s="28">
        <v>360671.7145</v>
      </c>
      <c r="H12" s="27">
        <v>6.0997243617637364E-2</v>
      </c>
      <c r="I12" s="29"/>
    </row>
    <row r="13" spans="2:9" ht="15.75">
      <c r="B13" s="14"/>
      <c r="C13" s="30"/>
      <c r="D13" s="31"/>
      <c r="E13" s="27"/>
      <c r="F13" s="12"/>
      <c r="G13" s="31"/>
      <c r="H13" s="27"/>
      <c r="I13" s="29"/>
    </row>
    <row r="14" spans="2:9" ht="15.75">
      <c r="B14" s="32" t="s">
        <v>34</v>
      </c>
      <c r="C14" s="12"/>
      <c r="D14" s="2">
        <v>541644</v>
      </c>
      <c r="E14" s="27">
        <v>1.5596464451386183E-2</v>
      </c>
      <c r="F14" s="12"/>
      <c r="G14" s="33">
        <v>160806.496648</v>
      </c>
      <c r="H14" s="27">
        <v>8.0755023026496842E-2</v>
      </c>
      <c r="I14" s="16"/>
    </row>
    <row r="15" spans="2:9" ht="15.75">
      <c r="B15" s="32" t="s">
        <v>35</v>
      </c>
      <c r="C15" s="12"/>
      <c r="D15" s="34">
        <v>515533</v>
      </c>
      <c r="E15" s="27">
        <v>-4.8105786400269857E-3</v>
      </c>
      <c r="F15" s="12"/>
      <c r="G15" s="33">
        <v>71014.505875999996</v>
      </c>
      <c r="H15" s="27">
        <v>3.0918499530494747E-2</v>
      </c>
      <c r="I15" s="35"/>
    </row>
    <row r="16" spans="2:9" ht="15.75">
      <c r="B16" s="32" t="s">
        <v>36</v>
      </c>
      <c r="C16" s="30"/>
      <c r="D16" s="2">
        <v>44854</v>
      </c>
      <c r="E16" s="27">
        <v>1.500305492068521E-2</v>
      </c>
      <c r="F16" s="30"/>
      <c r="G16" s="33">
        <v>128850.71197600001</v>
      </c>
      <c r="H16" s="27">
        <v>5.3899209154227856E-2</v>
      </c>
      <c r="I16" s="29"/>
    </row>
    <row r="17" spans="2:9" ht="15.75">
      <c r="B17" s="36"/>
      <c r="C17" s="37"/>
      <c r="D17" s="37"/>
      <c r="E17" s="12"/>
      <c r="F17" s="12"/>
      <c r="G17" s="12"/>
      <c r="H17" s="12"/>
      <c r="I17" s="16"/>
    </row>
    <row r="18" spans="2:9" ht="15.75">
      <c r="B18" s="38" t="s">
        <v>37</v>
      </c>
      <c r="C18" s="37"/>
      <c r="D18" s="37"/>
      <c r="E18" s="37"/>
      <c r="F18" s="37"/>
      <c r="G18" s="39"/>
      <c r="H18" s="39"/>
      <c r="I18" s="16"/>
    </row>
    <row r="19" spans="2:9" ht="16.5" thickBot="1">
      <c r="B19" s="38"/>
      <c r="C19" s="37"/>
      <c r="D19" s="37"/>
      <c r="E19" s="37"/>
      <c r="F19" s="37"/>
      <c r="G19" s="37"/>
      <c r="H19" s="37"/>
      <c r="I19" s="16"/>
    </row>
    <row r="20" spans="2:9" ht="16.5" thickTop="1">
      <c r="B20" s="10"/>
      <c r="C20" s="11"/>
      <c r="D20" s="11"/>
      <c r="E20" s="11"/>
      <c r="F20" s="11"/>
      <c r="G20" s="11"/>
      <c r="H20" s="11"/>
      <c r="I20" s="13"/>
    </row>
    <row r="21" spans="2:9" ht="15.75">
      <c r="B21" s="36"/>
      <c r="C21" s="40"/>
      <c r="D21" s="18"/>
      <c r="E21" s="986" t="s">
        <v>38</v>
      </c>
      <c r="F21" s="986"/>
      <c r="G21" s="986" t="s">
        <v>39</v>
      </c>
      <c r="H21" s="986"/>
      <c r="I21" s="16"/>
    </row>
    <row r="22" spans="2:9" ht="15.75">
      <c r="B22" s="17"/>
      <c r="C22" s="986" t="s">
        <v>40</v>
      </c>
      <c r="D22" s="986"/>
      <c r="E22" s="986" t="s">
        <v>28</v>
      </c>
      <c r="F22" s="986"/>
      <c r="G22" s="986" t="s">
        <v>28</v>
      </c>
      <c r="H22" s="986"/>
      <c r="I22" s="16"/>
    </row>
    <row r="23" spans="2:9" ht="15.75">
      <c r="B23" s="17"/>
      <c r="C23" s="41" t="s">
        <v>41</v>
      </c>
      <c r="D23" s="22" t="s">
        <v>31</v>
      </c>
      <c r="E23" s="41" t="s">
        <v>32</v>
      </c>
      <c r="F23" s="22" t="s">
        <v>31</v>
      </c>
      <c r="G23" s="41" t="s">
        <v>41</v>
      </c>
      <c r="H23" s="22" t="s">
        <v>31</v>
      </c>
      <c r="I23" s="16"/>
    </row>
    <row r="24" spans="2:9" ht="15.75">
      <c r="B24" s="14"/>
      <c r="D24" s="42"/>
      <c r="F24" s="42"/>
      <c r="H24" s="42"/>
      <c r="I24" s="16"/>
    </row>
    <row r="25" spans="2:9" ht="15.75">
      <c r="B25" s="24" t="s">
        <v>33</v>
      </c>
      <c r="C25" s="43">
        <v>1064244.4844729998</v>
      </c>
      <c r="D25" s="27">
        <v>9.7803918611753637E-2</v>
      </c>
      <c r="E25" s="43">
        <v>234541.70337599996</v>
      </c>
      <c r="F25" s="27">
        <v>7.7645914127042692E-2</v>
      </c>
      <c r="G25" s="43">
        <v>208611.093009</v>
      </c>
      <c r="H25" s="27">
        <v>6.8784328755925106E-2</v>
      </c>
      <c r="I25" s="16"/>
    </row>
    <row r="26" spans="2:9" ht="15.75">
      <c r="B26" s="14"/>
      <c r="C26" s="44"/>
      <c r="D26" s="27"/>
      <c r="E26" s="30"/>
      <c r="F26" s="27"/>
      <c r="G26" s="12"/>
      <c r="H26" s="27"/>
      <c r="I26" s="16"/>
    </row>
    <row r="27" spans="2:9" ht="15.75">
      <c r="B27" s="32" t="s">
        <v>42</v>
      </c>
      <c r="C27" s="45">
        <v>420552.21455799998</v>
      </c>
      <c r="D27" s="46">
        <v>7.9141585831399963E-2</v>
      </c>
      <c r="E27" s="45">
        <v>155541.84412699999</v>
      </c>
      <c r="F27" s="46">
        <v>7.7998421634396742E-2</v>
      </c>
      <c r="G27" s="45">
        <v>136617.98005700001</v>
      </c>
      <c r="H27" s="46">
        <v>7.3076058728705817E-2</v>
      </c>
      <c r="I27" s="16"/>
    </row>
    <row r="28" spans="2:9" ht="15.75">
      <c r="B28" s="32" t="s">
        <v>43</v>
      </c>
      <c r="C28" s="45">
        <v>61656.127841000001</v>
      </c>
      <c r="D28" s="46">
        <v>5.4412473677120321E-2</v>
      </c>
      <c r="E28" s="45">
        <v>12032.506068999999</v>
      </c>
      <c r="F28" s="46">
        <v>5.5284834990809273E-2</v>
      </c>
      <c r="G28" s="45">
        <v>10893.15681</v>
      </c>
      <c r="H28" s="46">
        <v>3.993939016131054E-2</v>
      </c>
      <c r="I28" s="16"/>
    </row>
    <row r="29" spans="2:9" ht="15.75">
      <c r="B29" s="32" t="s">
        <v>44</v>
      </c>
      <c r="C29" s="45">
        <v>264149.77901100001</v>
      </c>
      <c r="D29" s="46">
        <v>0.15628235221004338</v>
      </c>
      <c r="E29" s="45">
        <v>29083.361811999999</v>
      </c>
      <c r="F29" s="46">
        <v>0.1023612340318647</v>
      </c>
      <c r="G29" s="45">
        <v>26098.242283</v>
      </c>
      <c r="H29" s="46">
        <v>7.5837214046837076E-2</v>
      </c>
      <c r="I29" s="16"/>
    </row>
    <row r="30" spans="2:9" ht="15.75">
      <c r="B30" s="32" t="s">
        <v>45</v>
      </c>
      <c r="C30" s="45">
        <v>254172.895796</v>
      </c>
      <c r="D30" s="46">
        <v>9.5059394850905976E-2</v>
      </c>
      <c r="E30" s="45">
        <v>31930.690957999999</v>
      </c>
      <c r="F30" s="46">
        <v>6.9631345984750626E-2</v>
      </c>
      <c r="G30" s="45">
        <v>29332.448644</v>
      </c>
      <c r="H30" s="46">
        <v>6.0276204964894164E-2</v>
      </c>
      <c r="I30" s="16"/>
    </row>
    <row r="31" spans="2:9" ht="15.75">
      <c r="B31" s="32" t="s">
        <v>46</v>
      </c>
      <c r="C31" s="45">
        <v>63713.467267</v>
      </c>
      <c r="D31" s="46">
        <v>4.9821607022315195E-2</v>
      </c>
      <c r="E31" s="45">
        <v>5953.3004099999998</v>
      </c>
      <c r="F31" s="46">
        <v>4.1146245438755669E-2</v>
      </c>
      <c r="G31" s="45">
        <v>5669.2652150000004</v>
      </c>
      <c r="H31" s="46">
        <v>3.5899827151069319E-2</v>
      </c>
      <c r="I31" s="16"/>
    </row>
    <row r="32" spans="2:9" ht="15.75">
      <c r="B32" s="14"/>
      <c r="C32" s="12"/>
      <c r="D32" s="46"/>
      <c r="E32" s="12"/>
      <c r="F32" s="46"/>
      <c r="G32" s="12"/>
      <c r="H32" s="46"/>
      <c r="I32" s="16"/>
    </row>
    <row r="33" spans="2:9" ht="15.75">
      <c r="B33" s="32" t="s">
        <v>47</v>
      </c>
      <c r="C33" s="45">
        <v>496340.21856399998</v>
      </c>
      <c r="D33" s="46">
        <v>0.12203171714529504</v>
      </c>
      <c r="E33" s="45">
        <v>18393.885868000001</v>
      </c>
      <c r="F33" s="46">
        <v>3.758262257411845E-2</v>
      </c>
      <c r="G33" s="45">
        <v>18393.885868000001</v>
      </c>
      <c r="H33" s="46">
        <v>3.758262257411845E-2</v>
      </c>
      <c r="I33" s="16"/>
    </row>
    <row r="34" spans="2:9" ht="15.75">
      <c r="B34" s="32" t="s">
        <v>48</v>
      </c>
      <c r="C34" s="45">
        <v>256799.85305999999</v>
      </c>
      <c r="D34" s="46">
        <v>9.5255904719599827E-2</v>
      </c>
      <c r="E34" s="45">
        <v>85118.460531999997</v>
      </c>
      <c r="F34" s="46">
        <v>0.10090450589470212</v>
      </c>
      <c r="G34" s="45">
        <v>73978.854431999993</v>
      </c>
      <c r="H34" s="46">
        <v>8.8834263039656566E-2</v>
      </c>
      <c r="I34" s="16"/>
    </row>
    <row r="35" spans="2:9" ht="15.75">
      <c r="B35" s="32" t="s">
        <v>49</v>
      </c>
      <c r="C35" s="45">
        <v>32328.263921000002</v>
      </c>
      <c r="D35" s="46">
        <v>5.2316332708446822E-2</v>
      </c>
      <c r="E35" s="45">
        <v>14203.259742</v>
      </c>
      <c r="F35" s="46">
        <v>5.39237579192599E-2</v>
      </c>
      <c r="G35" s="45">
        <v>14203.259742</v>
      </c>
      <c r="H35" s="46">
        <v>5.39237579192599E-2</v>
      </c>
      <c r="I35" s="16"/>
    </row>
    <row r="36" spans="2:9" ht="15.75">
      <c r="B36" s="32" t="s">
        <v>50</v>
      </c>
      <c r="C36" s="45">
        <v>278776.14892800001</v>
      </c>
      <c r="D36" s="46">
        <v>6.4497258963237547E-2</v>
      </c>
      <c r="E36" s="45">
        <v>116826.097234</v>
      </c>
      <c r="F36" s="46">
        <v>7.0604590506830281E-2</v>
      </c>
      <c r="G36" s="45">
        <v>102035.092967</v>
      </c>
      <c r="H36" s="46">
        <v>6.2444607047164244E-2</v>
      </c>
      <c r="I36" s="16"/>
    </row>
    <row r="37" spans="2:9" ht="15.75">
      <c r="B37" s="32"/>
      <c r="C37" s="45"/>
      <c r="D37" s="47"/>
      <c r="E37" s="48"/>
      <c r="F37" s="47"/>
      <c r="G37" s="48"/>
      <c r="H37" s="47"/>
      <c r="I37" s="16"/>
    </row>
    <row r="38" spans="2:9" ht="15.75">
      <c r="B38" s="49" t="s">
        <v>51</v>
      </c>
      <c r="C38" s="45"/>
      <c r="D38" s="50"/>
      <c r="E38" s="51"/>
      <c r="F38" s="50"/>
      <c r="G38" s="51"/>
      <c r="H38" s="50"/>
      <c r="I38" s="16"/>
    </row>
    <row r="39" spans="2:9" ht="16.5" thickBot="1">
      <c r="B39" s="52"/>
      <c r="C39" s="53">
        <v>1064244.4844729998</v>
      </c>
      <c r="D39" s="53"/>
      <c r="E39" s="53">
        <v>234541.70337599999</v>
      </c>
      <c r="F39" s="53"/>
      <c r="G39" s="53">
        <v>208611.093009</v>
      </c>
      <c r="H39" s="53"/>
      <c r="I39" s="54"/>
    </row>
    <row r="40" spans="2:9" ht="16.5" thickTop="1">
      <c r="B40" s="55"/>
      <c r="C40" s="56"/>
      <c r="D40" s="56"/>
      <c r="E40" s="56"/>
      <c r="F40" s="56"/>
      <c r="G40" s="56"/>
      <c r="H40" s="56"/>
      <c r="I40" s="13"/>
    </row>
    <row r="41" spans="2:9" ht="15.75">
      <c r="B41" s="17"/>
      <c r="C41" s="12"/>
      <c r="D41" s="57" t="s">
        <v>52</v>
      </c>
      <c r="E41" s="12"/>
      <c r="F41" s="25"/>
      <c r="G41" s="987" t="s">
        <v>53</v>
      </c>
      <c r="H41" s="987"/>
      <c r="I41" s="16"/>
    </row>
    <row r="42" spans="2:9" ht="15.75">
      <c r="B42" s="14"/>
      <c r="C42" s="21" t="s">
        <v>54</v>
      </c>
      <c r="D42" s="21" t="s">
        <v>55</v>
      </c>
      <c r="E42" s="22" t="s">
        <v>31</v>
      </c>
      <c r="F42" s="25"/>
      <c r="G42" s="988" t="s">
        <v>56</v>
      </c>
      <c r="H42" s="988"/>
      <c r="I42" s="58"/>
    </row>
    <row r="43" spans="2:9" ht="15.75">
      <c r="B43" s="59"/>
      <c r="E43" s="60"/>
      <c r="I43" s="16"/>
    </row>
    <row r="44" spans="2:9" ht="15.75">
      <c r="B44" s="24" t="s">
        <v>33</v>
      </c>
      <c r="C44" s="43">
        <v>25794.073413999999</v>
      </c>
      <c r="D44" s="61">
        <v>1</v>
      </c>
      <c r="E44" s="62">
        <v>6.8298839647747078E-2</v>
      </c>
      <c r="F44" s="25"/>
      <c r="G44" s="989">
        <v>12.282999999999999</v>
      </c>
      <c r="H44" s="990"/>
      <c r="I44" s="29"/>
    </row>
    <row r="45" spans="2:9" ht="15.75">
      <c r="B45" s="14"/>
      <c r="C45" s="63"/>
      <c r="D45" s="12"/>
      <c r="E45" s="62"/>
      <c r="F45" s="25"/>
      <c r="G45" s="64"/>
      <c r="H45" s="30"/>
      <c r="I45" s="29"/>
    </row>
    <row r="46" spans="2:9" ht="15.75">
      <c r="B46" s="32" t="s">
        <v>47</v>
      </c>
      <c r="C46" s="45">
        <v>3841.3050009597077</v>
      </c>
      <c r="D46" s="65">
        <v>0.148922</v>
      </c>
      <c r="E46" s="62">
        <v>5.8356449185554604E-2</v>
      </c>
      <c r="F46" s="25"/>
      <c r="G46" s="984">
        <v>19.991</v>
      </c>
      <c r="H46" s="985"/>
      <c r="I46" s="29"/>
    </row>
    <row r="47" spans="2:9" ht="15.75">
      <c r="B47" s="32" t="s">
        <v>48</v>
      </c>
      <c r="C47" s="45">
        <v>9610.639607395673</v>
      </c>
      <c r="D47" s="65">
        <v>0.37259100000000001</v>
      </c>
      <c r="E47" s="62">
        <v>8.9066429256370094E-2</v>
      </c>
      <c r="F47" s="25"/>
      <c r="G47" s="984">
        <v>12.891999999999999</v>
      </c>
      <c r="H47" s="985"/>
      <c r="I47" s="29"/>
    </row>
    <row r="48" spans="2:9" ht="15.75">
      <c r="B48" s="32" t="s">
        <v>49</v>
      </c>
      <c r="C48" s="45">
        <v>1552.9837780366979</v>
      </c>
      <c r="D48" s="65">
        <v>6.0206999999999997E-2</v>
      </c>
      <c r="E48" s="62">
        <v>6.5714516903416786E-2</v>
      </c>
      <c r="F48" s="25"/>
      <c r="G48" s="984">
        <v>10.933999999999999</v>
      </c>
      <c r="H48" s="985"/>
      <c r="I48" s="29"/>
    </row>
    <row r="49" spans="2:9" ht="15.75">
      <c r="B49" s="32" t="s">
        <v>50</v>
      </c>
      <c r="C49" s="45">
        <v>10789.145027607919</v>
      </c>
      <c r="D49" s="65">
        <v>0.41827999999999999</v>
      </c>
      <c r="E49" s="62">
        <v>5.4284726896611124E-2</v>
      </c>
      <c r="F49" s="25"/>
      <c r="G49" s="984">
        <v>10.574</v>
      </c>
      <c r="H49" s="985"/>
      <c r="I49" s="29"/>
    </row>
    <row r="50" spans="2:9" ht="16.5" thickBot="1">
      <c r="B50" s="66"/>
      <c r="C50" s="67"/>
      <c r="D50" s="67"/>
      <c r="E50" s="67"/>
      <c r="F50" s="67"/>
      <c r="G50" s="67"/>
      <c r="H50" s="67"/>
      <c r="I50" s="68"/>
    </row>
    <row r="51" spans="2:9" ht="15.75" thickTop="1">
      <c r="C51" s="69"/>
      <c r="D51" s="69"/>
      <c r="E51" s="69"/>
      <c r="F51" s="69"/>
      <c r="G51" s="69"/>
      <c r="H51" s="69"/>
      <c r="I51" s="69"/>
    </row>
  </sheetData>
  <mergeCells count="17">
    <mergeCell ref="E21:F21"/>
    <mergeCell ref="G21:H21"/>
    <mergeCell ref="B4:I4"/>
    <mergeCell ref="B5:I5"/>
    <mergeCell ref="G8:H8"/>
    <mergeCell ref="D9:E9"/>
    <mergeCell ref="G9:H9"/>
    <mergeCell ref="G46:H46"/>
    <mergeCell ref="G47:H47"/>
    <mergeCell ref="G48:H48"/>
    <mergeCell ref="G49:H49"/>
    <mergeCell ref="C22:D22"/>
    <mergeCell ref="E22:F22"/>
    <mergeCell ref="G22:H22"/>
    <mergeCell ref="G41:H41"/>
    <mergeCell ref="G42:H42"/>
    <mergeCell ref="G44:H44"/>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O122"/>
  <sheetViews>
    <sheetView showGridLines="0" workbookViewId="0">
      <selection activeCell="A51" sqref="A51"/>
    </sheetView>
  </sheetViews>
  <sheetFormatPr defaultColWidth="9.140625" defaultRowHeight="15.75"/>
  <cols>
    <col min="1" max="1" width="9.140625" style="222"/>
    <col min="2" max="2" width="4.7109375" style="222" customWidth="1"/>
    <col min="3" max="3" width="41.5703125" style="222" bestFit="1" customWidth="1"/>
    <col min="4" max="4" width="10.7109375" style="222" customWidth="1"/>
    <col min="5" max="5" width="11.7109375" style="222" customWidth="1"/>
    <col min="6" max="6" width="12.7109375" style="274" customWidth="1"/>
    <col min="7" max="7" width="11.7109375" style="222" customWidth="1"/>
    <col min="8" max="9" width="9.140625" style="222"/>
    <col min="10" max="10" width="6.140625" style="222" customWidth="1"/>
    <col min="11" max="11" width="43.42578125" style="222" bestFit="1" customWidth="1"/>
    <col min="12" max="12" width="10.42578125" style="222" bestFit="1" customWidth="1"/>
    <col min="13" max="13" width="12.5703125" style="222" bestFit="1" customWidth="1"/>
    <col min="14" max="14" width="11.140625" style="222" bestFit="1" customWidth="1"/>
    <col min="15" max="15" width="12.5703125" style="222" bestFit="1" customWidth="1"/>
    <col min="16" max="16384" width="9.140625" style="222"/>
  </cols>
  <sheetData>
    <row r="1" spans="2:15">
      <c r="B1" s="1015" t="s">
        <v>138</v>
      </c>
      <c r="C1" s="1015"/>
      <c r="D1" s="1015"/>
      <c r="E1" s="1015"/>
      <c r="F1" s="1015"/>
      <c r="G1" s="1015"/>
      <c r="J1" s="1015" t="s">
        <v>138</v>
      </c>
      <c r="K1" s="1015"/>
      <c r="L1" s="1015"/>
      <c r="M1" s="1015"/>
      <c r="N1" s="1015"/>
      <c r="O1" s="1015"/>
    </row>
    <row r="2" spans="2:15">
      <c r="B2" s="1015" t="s">
        <v>126</v>
      </c>
      <c r="C2" s="1015"/>
      <c r="D2" s="1015"/>
      <c r="E2" s="1015"/>
      <c r="F2" s="1015"/>
      <c r="G2" s="1015"/>
      <c r="J2" s="1015" t="s">
        <v>126</v>
      </c>
      <c r="K2" s="1015"/>
      <c r="L2" s="1015"/>
      <c r="M2" s="1015"/>
      <c r="N2" s="1015"/>
      <c r="O2" s="1015"/>
    </row>
    <row r="3" spans="2:15">
      <c r="B3" s="1014" t="s">
        <v>139</v>
      </c>
      <c r="C3" s="1014"/>
      <c r="D3" s="1014"/>
      <c r="E3" s="1014"/>
      <c r="F3" s="1014"/>
      <c r="G3" s="1014"/>
      <c r="J3" s="1014" t="s">
        <v>139</v>
      </c>
      <c r="K3" s="1014"/>
      <c r="L3" s="1014"/>
      <c r="M3" s="1014"/>
      <c r="N3" s="1014"/>
      <c r="O3" s="1014"/>
    </row>
    <row r="4" spans="2:15">
      <c r="B4" s="1014" t="s">
        <v>69</v>
      </c>
      <c r="C4" s="1014"/>
      <c r="D4" s="1014"/>
      <c r="E4" s="1014"/>
      <c r="F4" s="1014"/>
      <c r="G4" s="1014"/>
      <c r="J4" s="1014" t="s">
        <v>69</v>
      </c>
      <c r="K4" s="1014"/>
      <c r="L4" s="1014"/>
      <c r="M4" s="1014"/>
      <c r="N4" s="1014"/>
      <c r="O4" s="1014"/>
    </row>
    <row r="5" spans="2:15">
      <c r="B5" s="223"/>
      <c r="C5" s="223"/>
      <c r="D5" s="223"/>
      <c r="E5" s="223"/>
      <c r="F5" s="223"/>
      <c r="G5" s="223"/>
      <c r="J5" s="223"/>
      <c r="K5" s="223"/>
      <c r="L5" s="223"/>
      <c r="M5" s="223"/>
      <c r="N5" s="223"/>
      <c r="O5" s="223"/>
    </row>
    <row r="6" spans="2:15">
      <c r="B6" s="1014" t="s">
        <v>124</v>
      </c>
      <c r="C6" s="1014"/>
      <c r="D6" s="1014"/>
      <c r="E6" s="1014"/>
      <c r="F6" s="1014"/>
      <c r="G6" s="1014"/>
      <c r="J6" s="1014" t="s">
        <v>124</v>
      </c>
      <c r="K6" s="1014"/>
      <c r="L6" s="1014"/>
      <c r="M6" s="1014"/>
      <c r="N6" s="1014"/>
      <c r="O6" s="1014"/>
    </row>
    <row r="7" spans="2:15">
      <c r="B7" s="223"/>
      <c r="C7" s="223"/>
      <c r="D7" s="223"/>
      <c r="E7" s="223"/>
      <c r="F7" s="223"/>
      <c r="G7" s="223"/>
      <c r="J7" s="223"/>
      <c r="K7" s="223"/>
      <c r="L7" s="223"/>
      <c r="M7" s="223"/>
      <c r="N7" s="223"/>
      <c r="O7" s="223"/>
    </row>
    <row r="8" spans="2:15">
      <c r="B8" s="275"/>
      <c r="C8" s="276"/>
      <c r="D8" s="1010" t="s">
        <v>140</v>
      </c>
      <c r="E8" s="1011"/>
      <c r="F8" s="1010" t="s">
        <v>141</v>
      </c>
      <c r="G8" s="1011"/>
      <c r="J8" s="275"/>
      <c r="K8" s="276"/>
      <c r="L8" s="1010" t="s">
        <v>140</v>
      </c>
      <c r="M8" s="1011"/>
      <c r="N8" s="1010" t="s">
        <v>141</v>
      </c>
      <c r="O8" s="1011"/>
    </row>
    <row r="9" spans="2:15">
      <c r="B9" s="227"/>
      <c r="C9" s="256"/>
      <c r="D9" s="229"/>
      <c r="E9" s="230"/>
      <c r="F9" s="229" t="s">
        <v>142</v>
      </c>
      <c r="G9" s="230"/>
      <c r="J9" s="227"/>
      <c r="K9" s="256"/>
      <c r="L9" s="229"/>
      <c r="M9" s="230"/>
      <c r="N9" s="229" t="s">
        <v>142</v>
      </c>
      <c r="O9" s="230"/>
    </row>
    <row r="10" spans="2:15">
      <c r="B10" s="1012" t="s">
        <v>143</v>
      </c>
      <c r="C10" s="1013"/>
      <c r="D10" s="229" t="s">
        <v>144</v>
      </c>
      <c r="E10" s="230" t="s">
        <v>80</v>
      </c>
      <c r="F10" s="277" t="s">
        <v>145</v>
      </c>
      <c r="G10" s="230" t="s">
        <v>80</v>
      </c>
      <c r="J10" s="1012" t="s">
        <v>143</v>
      </c>
      <c r="K10" s="1013"/>
      <c r="L10" s="229" t="s">
        <v>144</v>
      </c>
      <c r="M10" s="230" t="s">
        <v>80</v>
      </c>
      <c r="N10" s="277" t="s">
        <v>145</v>
      </c>
      <c r="O10" s="230" t="s">
        <v>80</v>
      </c>
    </row>
    <row r="11" spans="2:15">
      <c r="B11" s="231" t="s">
        <v>204</v>
      </c>
      <c r="C11" s="232"/>
      <c r="D11" s="278">
        <v>102648</v>
      </c>
      <c r="E11" s="234">
        <v>1</v>
      </c>
      <c r="F11" s="235">
        <v>681262029</v>
      </c>
      <c r="G11" s="234">
        <v>1</v>
      </c>
      <c r="J11" s="236" t="s">
        <v>147</v>
      </c>
      <c r="K11" s="237"/>
      <c r="L11" s="233">
        <v>96717</v>
      </c>
      <c r="M11" s="238">
        <v>0.94222001402852462</v>
      </c>
      <c r="N11" s="239">
        <v>198385848</v>
      </c>
      <c r="O11" s="238">
        <v>0.29120344236886864</v>
      </c>
    </row>
    <row r="12" spans="2:15">
      <c r="B12" s="236" t="s">
        <v>148</v>
      </c>
      <c r="C12" s="237"/>
      <c r="D12" s="233">
        <v>5931</v>
      </c>
      <c r="E12" s="238">
        <v>5.777998597147533E-2</v>
      </c>
      <c r="F12" s="239">
        <v>482876181</v>
      </c>
      <c r="G12" s="238">
        <v>0.70879655763113136</v>
      </c>
      <c r="J12" s="246"/>
      <c r="K12" s="247"/>
      <c r="L12" s="248"/>
      <c r="M12" s="249"/>
      <c r="N12" s="250"/>
      <c r="O12" s="249"/>
    </row>
    <row r="13" spans="2:15">
      <c r="B13" s="241"/>
      <c r="C13" s="242"/>
      <c r="D13" s="243"/>
      <c r="E13" s="244"/>
      <c r="F13" s="245"/>
      <c r="G13" s="244"/>
      <c r="J13" s="280" t="s">
        <v>149</v>
      </c>
      <c r="K13" s="256"/>
      <c r="L13" s="253">
        <v>911</v>
      </c>
      <c r="M13" s="254">
        <v>8.8749902579689805E-3</v>
      </c>
      <c r="N13" s="255">
        <v>105017076</v>
      </c>
      <c r="O13" s="254">
        <v>0.15415078417646552</v>
      </c>
    </row>
    <row r="14" spans="2:15">
      <c r="B14" s="280" t="s">
        <v>150</v>
      </c>
      <c r="C14" s="256"/>
      <c r="D14" s="253">
        <v>5330</v>
      </c>
      <c r="E14" s="254">
        <v>5.1925025329280651E-2</v>
      </c>
      <c r="F14" s="255">
        <v>391081029</v>
      </c>
      <c r="G14" s="254">
        <v>0.57405375957038696</v>
      </c>
      <c r="J14" s="298"/>
      <c r="K14" s="260" t="s">
        <v>151</v>
      </c>
      <c r="L14" s="261">
        <v>49</v>
      </c>
      <c r="M14" s="262">
        <v>4.7735951991271142E-4</v>
      </c>
      <c r="N14" s="263">
        <v>13972094</v>
      </c>
      <c r="O14" s="262">
        <v>2.0509133644963502E-2</v>
      </c>
    </row>
    <row r="15" spans="2:15">
      <c r="B15" s="298"/>
      <c r="C15" s="260" t="s">
        <v>152</v>
      </c>
      <c r="D15" s="261">
        <v>4336</v>
      </c>
      <c r="E15" s="262">
        <v>4.2241446496765644E-2</v>
      </c>
      <c r="F15" s="263">
        <v>355730068</v>
      </c>
      <c r="G15" s="262">
        <v>0.52216335691299776</v>
      </c>
      <c r="J15" s="298"/>
      <c r="K15" s="260" t="s">
        <v>153</v>
      </c>
      <c r="L15" s="261">
        <v>198</v>
      </c>
      <c r="M15" s="262">
        <v>1.9289221416880992E-3</v>
      </c>
      <c r="N15" s="263">
        <v>9013237</v>
      </c>
      <c r="O15" s="262">
        <v>1.323020602400255E-2</v>
      </c>
    </row>
    <row r="16" spans="2:15">
      <c r="B16" s="298"/>
      <c r="C16" s="260" t="s">
        <v>154</v>
      </c>
      <c r="D16" s="261">
        <v>970</v>
      </c>
      <c r="E16" s="262">
        <v>9.4497700880679606E-3</v>
      </c>
      <c r="F16" s="263">
        <v>31478127</v>
      </c>
      <c r="G16" s="262">
        <v>4.6205609090243308E-2</v>
      </c>
      <c r="J16" s="298"/>
      <c r="K16" s="260" t="s">
        <v>155</v>
      </c>
      <c r="L16" s="261">
        <v>2</v>
      </c>
      <c r="M16" s="262">
        <v>1.9484062037253527E-5</v>
      </c>
      <c r="N16" s="263">
        <v>26053</v>
      </c>
      <c r="O16" s="262">
        <v>3.8242260526749538E-5</v>
      </c>
    </row>
    <row r="17" spans="2:15">
      <c r="B17" s="298"/>
      <c r="C17" s="260" t="s">
        <v>156</v>
      </c>
      <c r="D17" s="261">
        <v>24</v>
      </c>
      <c r="E17" s="262">
        <v>2.3380874444704232E-4</v>
      </c>
      <c r="F17" s="263">
        <v>3872834</v>
      </c>
      <c r="G17" s="262">
        <v>5.6847935671459531E-3</v>
      </c>
      <c r="J17" s="298"/>
      <c r="K17" s="260" t="s">
        <v>157</v>
      </c>
      <c r="L17" s="261">
        <v>44</v>
      </c>
      <c r="M17" s="262">
        <v>4.2864936481957756E-4</v>
      </c>
      <c r="N17" s="263">
        <v>12961202</v>
      </c>
      <c r="O17" s="262">
        <v>1.902528168056758E-2</v>
      </c>
    </row>
    <row r="18" spans="2:15">
      <c r="B18" s="298"/>
      <c r="C18" s="260"/>
      <c r="D18" s="227"/>
      <c r="E18" s="262"/>
      <c r="F18" s="264"/>
      <c r="G18" s="262"/>
      <c r="J18" s="298"/>
      <c r="K18" s="260" t="s">
        <v>159</v>
      </c>
      <c r="L18" s="261">
        <v>35</v>
      </c>
      <c r="M18" s="262">
        <v>3.4097108565193674E-4</v>
      </c>
      <c r="N18" s="263">
        <v>19564254</v>
      </c>
      <c r="O18" s="262">
        <v>2.8717663934268674E-2</v>
      </c>
    </row>
    <row r="19" spans="2:15">
      <c r="B19" s="280" t="s">
        <v>161</v>
      </c>
      <c r="C19" s="256"/>
      <c r="D19" s="253">
        <v>601</v>
      </c>
      <c r="E19" s="254">
        <v>5.8549606421946848E-3</v>
      </c>
      <c r="F19" s="255">
        <v>91795152</v>
      </c>
      <c r="G19" s="254">
        <v>0.13474279806074441</v>
      </c>
      <c r="J19" s="298"/>
      <c r="K19" s="260" t="s">
        <v>160</v>
      </c>
      <c r="L19" s="261">
        <v>504</v>
      </c>
      <c r="M19" s="262">
        <v>4.9099836333878887E-3</v>
      </c>
      <c r="N19" s="263">
        <v>44473271</v>
      </c>
      <c r="O19" s="262">
        <v>6.528071301035332E-2</v>
      </c>
    </row>
    <row r="20" spans="2:15">
      <c r="B20" s="298"/>
      <c r="C20" s="260" t="s">
        <v>164</v>
      </c>
      <c r="D20" s="261">
        <v>141</v>
      </c>
      <c r="E20" s="262">
        <v>1.3736263736263737E-3</v>
      </c>
      <c r="F20" s="263">
        <v>1619916</v>
      </c>
      <c r="G20" s="262">
        <v>2.3778163629313326E-3</v>
      </c>
      <c r="J20" s="227"/>
      <c r="K20" s="260" t="s">
        <v>162</v>
      </c>
      <c r="L20" s="261">
        <v>79</v>
      </c>
      <c r="M20" s="262">
        <v>7.6962045047151431E-4</v>
      </c>
      <c r="N20" s="263">
        <v>5006965</v>
      </c>
      <c r="O20" s="262">
        <v>7.3495436217831537E-3</v>
      </c>
    </row>
    <row r="21" spans="2:15">
      <c r="B21" s="298"/>
      <c r="C21" s="260" t="s">
        <v>166</v>
      </c>
      <c r="D21" s="261">
        <v>11</v>
      </c>
      <c r="E21" s="262">
        <v>1.0716234120489439E-4</v>
      </c>
      <c r="F21" s="263">
        <v>718275</v>
      </c>
      <c r="G21" s="262">
        <v>1.054330007287108E-3</v>
      </c>
      <c r="J21" s="298"/>
      <c r="K21" s="260"/>
      <c r="L21" s="227"/>
      <c r="M21" s="262"/>
      <c r="N21" s="225"/>
      <c r="O21" s="262"/>
    </row>
    <row r="22" spans="2:15">
      <c r="B22" s="298"/>
      <c r="C22" s="260" t="s">
        <v>168</v>
      </c>
      <c r="D22" s="261">
        <v>347</v>
      </c>
      <c r="E22" s="262">
        <v>3.3804847634634869E-3</v>
      </c>
      <c r="F22" s="263">
        <v>24141032</v>
      </c>
      <c r="G22" s="262">
        <v>3.5435751549863642E-2</v>
      </c>
      <c r="J22" s="280" t="s">
        <v>165</v>
      </c>
      <c r="K22" s="256"/>
      <c r="L22" s="253">
        <v>483</v>
      </c>
      <c r="M22" s="254">
        <v>4.7054009819967263E-3</v>
      </c>
      <c r="N22" s="255">
        <v>16820048</v>
      </c>
      <c r="O22" s="254">
        <v>2.4689542766223947E-2</v>
      </c>
    </row>
    <row r="23" spans="2:15">
      <c r="B23" s="298"/>
      <c r="C23" s="260" t="s">
        <v>174</v>
      </c>
      <c r="D23" s="261">
        <v>15</v>
      </c>
      <c r="E23" s="262">
        <v>1.4613046527940144E-4</v>
      </c>
      <c r="F23" s="263">
        <v>9673430</v>
      </c>
      <c r="G23" s="262">
        <v>1.4199279555033003E-2</v>
      </c>
      <c r="J23" s="298"/>
      <c r="K23" s="260" t="s">
        <v>169</v>
      </c>
      <c r="L23" s="261">
        <v>9</v>
      </c>
      <c r="M23" s="262">
        <v>8.7678279167640864E-5</v>
      </c>
      <c r="N23" s="263">
        <v>2862584</v>
      </c>
      <c r="O23" s="262">
        <v>4.2018839714314977E-3</v>
      </c>
    </row>
    <row r="24" spans="2:15">
      <c r="B24" s="298"/>
      <c r="C24" s="260" t="s">
        <v>176</v>
      </c>
      <c r="D24" s="261">
        <v>17</v>
      </c>
      <c r="E24" s="262">
        <v>1.6561452731665499E-4</v>
      </c>
      <c r="F24" s="263">
        <v>33950381</v>
      </c>
      <c r="G24" s="262">
        <v>4.9834541710528826E-2</v>
      </c>
      <c r="J24" s="298"/>
      <c r="K24" s="260" t="s">
        <v>173</v>
      </c>
      <c r="L24" s="261">
        <v>7</v>
      </c>
      <c r="M24" s="262">
        <v>6.8194217130387337E-5</v>
      </c>
      <c r="N24" s="263">
        <v>2693130</v>
      </c>
      <c r="O24" s="262">
        <v>3.9531485469007401E-3</v>
      </c>
    </row>
    <row r="25" spans="2:15">
      <c r="B25" s="298"/>
      <c r="C25" s="260" t="s">
        <v>178</v>
      </c>
      <c r="D25" s="261">
        <v>1</v>
      </c>
      <c r="E25" s="262">
        <v>9.7420310186267634E-6</v>
      </c>
      <c r="F25" s="263">
        <v>950756</v>
      </c>
      <c r="G25" s="262">
        <v>1.3955804955041754E-3</v>
      </c>
      <c r="J25" s="298"/>
      <c r="K25" s="260" t="s">
        <v>177</v>
      </c>
      <c r="L25" s="261">
        <v>5</v>
      </c>
      <c r="M25" s="262">
        <v>4.8710155093133817E-5</v>
      </c>
      <c r="N25" s="263">
        <v>1949234</v>
      </c>
      <c r="O25" s="262">
        <v>2.8612103963304844E-3</v>
      </c>
    </row>
    <row r="26" spans="2:15">
      <c r="B26" s="298"/>
      <c r="C26" s="260" t="s">
        <v>180</v>
      </c>
      <c r="D26" s="261">
        <v>65</v>
      </c>
      <c r="E26" s="262">
        <v>6.3323201621073963E-4</v>
      </c>
      <c r="F26" s="263">
        <v>18181051</v>
      </c>
      <c r="G26" s="262">
        <v>2.6687310059959325E-2</v>
      </c>
      <c r="J26" s="298"/>
      <c r="K26" s="260" t="s">
        <v>179</v>
      </c>
      <c r="L26" s="261">
        <v>250</v>
      </c>
      <c r="M26" s="262">
        <v>2.4355077546566908E-3</v>
      </c>
      <c r="N26" s="263">
        <v>3374708</v>
      </c>
      <c r="O26" s="262">
        <v>4.9536123493534676E-3</v>
      </c>
    </row>
    <row r="27" spans="2:15">
      <c r="B27" s="300"/>
      <c r="C27" s="267" t="s">
        <v>182</v>
      </c>
      <c r="D27" s="268">
        <v>4</v>
      </c>
      <c r="E27" s="269">
        <v>3.8968124074507054E-5</v>
      </c>
      <c r="F27" s="270">
        <v>2560311</v>
      </c>
      <c r="G27" s="269">
        <v>3.7581883196369952E-3</v>
      </c>
      <c r="J27" s="298"/>
      <c r="K27" s="265" t="s">
        <v>181</v>
      </c>
      <c r="L27" s="261">
        <v>154</v>
      </c>
      <c r="M27" s="262">
        <v>1.5002727768685215E-3</v>
      </c>
      <c r="N27" s="263">
        <v>128715</v>
      </c>
      <c r="O27" s="262">
        <v>1.8893611344952853E-4</v>
      </c>
    </row>
    <row r="28" spans="2:15">
      <c r="B28" s="37"/>
      <c r="C28" s="37"/>
      <c r="D28" s="37"/>
      <c r="E28" s="37"/>
      <c r="F28" s="37"/>
      <c r="G28" s="37"/>
      <c r="J28" s="298"/>
      <c r="K28" s="260" t="s">
        <v>183</v>
      </c>
      <c r="L28" s="261">
        <v>1</v>
      </c>
      <c r="M28" s="262">
        <v>9.7420310186267634E-6</v>
      </c>
      <c r="N28" s="263">
        <v>322848</v>
      </c>
      <c r="O28" s="262">
        <v>4.7389695338502421E-4</v>
      </c>
    </row>
    <row r="29" spans="2:15">
      <c r="B29" s="302"/>
      <c r="C29" s="302"/>
      <c r="D29" s="302"/>
      <c r="E29" s="302"/>
      <c r="F29" s="302"/>
      <c r="G29" s="302"/>
      <c r="J29" s="303"/>
      <c r="K29" s="304" t="s">
        <v>186</v>
      </c>
      <c r="L29" s="261">
        <v>17</v>
      </c>
      <c r="M29" s="262">
        <v>1.6561452731665499E-4</v>
      </c>
      <c r="N29" s="263">
        <v>1050826</v>
      </c>
      <c r="O29" s="262">
        <v>1.5424696449653442E-3</v>
      </c>
    </row>
    <row r="30" spans="2:15">
      <c r="B30" s="302"/>
      <c r="C30" s="302"/>
      <c r="D30" s="302"/>
      <c r="E30" s="302"/>
      <c r="F30" s="302"/>
      <c r="G30" s="302"/>
      <c r="J30" s="298"/>
      <c r="K30" s="260" t="s">
        <v>187</v>
      </c>
      <c r="L30" s="261"/>
      <c r="M30" s="262">
        <v>0</v>
      </c>
      <c r="N30" s="263"/>
      <c r="O30" s="262">
        <v>0</v>
      </c>
    </row>
    <row r="31" spans="2:15">
      <c r="B31" s="302"/>
      <c r="C31" s="302"/>
      <c r="D31" s="302"/>
      <c r="E31" s="302"/>
      <c r="F31" s="302"/>
      <c r="G31" s="302"/>
      <c r="J31" s="298"/>
      <c r="K31" s="260" t="s">
        <v>188</v>
      </c>
      <c r="L31" s="261">
        <v>31</v>
      </c>
      <c r="M31" s="262">
        <v>3.0200296157742966E-4</v>
      </c>
      <c r="N31" s="263">
        <v>41163</v>
      </c>
      <c r="O31" s="262">
        <v>6.0421685412911808E-5</v>
      </c>
    </row>
    <row r="32" spans="2:15">
      <c r="B32" s="302"/>
      <c r="C32" s="302"/>
      <c r="D32" s="302"/>
      <c r="E32" s="302"/>
      <c r="F32" s="302"/>
      <c r="G32" s="302"/>
      <c r="J32" s="298"/>
      <c r="K32" s="260" t="s">
        <v>189</v>
      </c>
      <c r="L32" s="261">
        <v>9</v>
      </c>
      <c r="M32" s="262">
        <v>8.7678279167640864E-5</v>
      </c>
      <c r="N32" s="263">
        <v>4396840</v>
      </c>
      <c r="O32" s="262">
        <v>6.4539631049949503E-3</v>
      </c>
    </row>
    <row r="33" spans="2:15">
      <c r="B33" s="302"/>
      <c r="C33" s="302"/>
      <c r="D33" s="302"/>
      <c r="E33" s="302"/>
      <c r="F33" s="302"/>
      <c r="G33" s="302"/>
      <c r="J33" s="298"/>
      <c r="K33" s="304"/>
      <c r="L33" s="305"/>
      <c r="M33" s="262"/>
      <c r="N33" s="264"/>
      <c r="O33" s="262"/>
    </row>
    <row r="34" spans="2:15">
      <c r="B34" s="302"/>
      <c r="C34" s="302"/>
      <c r="D34" s="302"/>
      <c r="E34" s="302"/>
      <c r="F34" s="302"/>
      <c r="G34" s="302"/>
      <c r="J34" s="280" t="s">
        <v>190</v>
      </c>
      <c r="K34" s="256"/>
      <c r="L34" s="253">
        <v>483</v>
      </c>
      <c r="M34" s="254">
        <v>4.7054009819967263E-3</v>
      </c>
      <c r="N34" s="255">
        <v>26475035</v>
      </c>
      <c r="O34" s="254">
        <v>3.8861750505692724E-2</v>
      </c>
    </row>
    <row r="35" spans="2:15">
      <c r="B35" s="302"/>
      <c r="C35" s="302"/>
      <c r="D35" s="302"/>
      <c r="E35" s="302"/>
      <c r="F35" s="302"/>
      <c r="G35" s="302"/>
      <c r="J35" s="298"/>
      <c r="K35" s="260" t="s">
        <v>191</v>
      </c>
      <c r="L35" s="261">
        <v>5</v>
      </c>
      <c r="M35" s="262">
        <v>4.8710155093133817E-5</v>
      </c>
      <c r="N35" s="263">
        <v>24</v>
      </c>
      <c r="O35" s="262">
        <v>3.5228735755651515E-8</v>
      </c>
    </row>
    <row r="36" spans="2:15">
      <c r="B36" s="302"/>
      <c r="C36" s="302"/>
      <c r="D36" s="302"/>
      <c r="E36" s="302"/>
      <c r="F36" s="302"/>
      <c r="G36" s="302"/>
      <c r="J36" s="298"/>
      <c r="K36" s="260" t="s">
        <v>193</v>
      </c>
      <c r="L36" s="261">
        <v>477</v>
      </c>
      <c r="M36" s="262">
        <v>4.6469487958849661E-3</v>
      </c>
      <c r="N36" s="263">
        <v>26474766</v>
      </c>
      <c r="O36" s="262">
        <v>3.8861355650279462E-2</v>
      </c>
    </row>
    <row r="37" spans="2:15">
      <c r="B37" s="302"/>
      <c r="C37" s="302"/>
      <c r="D37" s="302"/>
      <c r="E37" s="302"/>
      <c r="F37" s="302"/>
      <c r="G37" s="302"/>
      <c r="J37" s="298"/>
      <c r="K37" s="260" t="s">
        <v>194</v>
      </c>
      <c r="L37" s="261">
        <v>1</v>
      </c>
      <c r="M37" s="262">
        <v>9.7420310186267634E-6</v>
      </c>
      <c r="N37" s="263">
        <v>245</v>
      </c>
      <c r="O37" s="262">
        <v>3.5962667750560923E-7</v>
      </c>
    </row>
    <row r="38" spans="2:15">
      <c r="B38" s="302"/>
      <c r="C38" s="302"/>
      <c r="D38" s="302"/>
      <c r="E38" s="302"/>
      <c r="F38" s="302"/>
      <c r="G38" s="302"/>
      <c r="J38" s="298"/>
      <c r="K38" s="260"/>
      <c r="L38" s="227"/>
      <c r="M38" s="262"/>
      <c r="N38" s="264"/>
      <c r="O38" s="262"/>
    </row>
    <row r="39" spans="2:15">
      <c r="B39" s="302"/>
      <c r="C39" s="302"/>
      <c r="D39" s="302"/>
      <c r="E39" s="302"/>
      <c r="F39" s="302"/>
      <c r="G39" s="302"/>
      <c r="J39" s="280" t="s">
        <v>198</v>
      </c>
      <c r="K39" s="256"/>
      <c r="L39" s="253">
        <v>94840</v>
      </c>
      <c r="M39" s="254">
        <v>0.92393422180656226</v>
      </c>
      <c r="N39" s="255">
        <v>50073689</v>
      </c>
      <c r="O39" s="254">
        <v>7.3501364920486423E-2</v>
      </c>
    </row>
    <row r="40" spans="2:15">
      <c r="B40" s="302"/>
      <c r="C40" s="302"/>
      <c r="D40" s="302"/>
      <c r="E40" s="302"/>
      <c r="F40" s="302"/>
      <c r="G40" s="302"/>
      <c r="J40" s="298"/>
      <c r="K40" s="260" t="s">
        <v>199</v>
      </c>
      <c r="L40" s="261">
        <v>1</v>
      </c>
      <c r="M40" s="262">
        <v>9.7420310186267634E-6</v>
      </c>
      <c r="N40" s="263">
        <v>1799</v>
      </c>
      <c r="O40" s="262">
        <v>2.6406873176840448E-6</v>
      </c>
    </row>
    <row r="41" spans="2:15">
      <c r="B41" s="302"/>
      <c r="C41" s="302"/>
      <c r="D41" s="302"/>
      <c r="E41" s="302"/>
      <c r="F41" s="302"/>
      <c r="G41" s="302"/>
      <c r="J41" s="298"/>
      <c r="K41" s="260" t="s">
        <v>200</v>
      </c>
      <c r="L41" s="261">
        <v>1138</v>
      </c>
      <c r="M41" s="262">
        <v>1.1086431299197256E-2</v>
      </c>
      <c r="N41" s="263">
        <v>2615749</v>
      </c>
      <c r="O41" s="262">
        <v>3.8395637635045706E-3</v>
      </c>
    </row>
    <row r="42" spans="2:15">
      <c r="B42" s="302"/>
      <c r="C42" s="302"/>
      <c r="D42" s="302"/>
      <c r="E42" s="302"/>
      <c r="F42" s="302"/>
      <c r="G42" s="302"/>
      <c r="J42" s="298"/>
      <c r="K42" s="260" t="s">
        <v>201</v>
      </c>
      <c r="L42" s="261">
        <v>75036</v>
      </c>
      <c r="M42" s="262">
        <v>0.73100303951367784</v>
      </c>
      <c r="N42" s="263">
        <v>28587490</v>
      </c>
      <c r="O42" s="262">
        <v>4.1962547130305422E-2</v>
      </c>
    </row>
    <row r="43" spans="2:15">
      <c r="B43" s="302"/>
      <c r="C43" s="302"/>
      <c r="D43" s="302"/>
      <c r="E43" s="302"/>
      <c r="F43" s="302"/>
      <c r="G43" s="302"/>
      <c r="J43" s="298"/>
      <c r="K43" s="260" t="s">
        <v>202</v>
      </c>
      <c r="L43" s="261">
        <v>6798</v>
      </c>
      <c r="M43" s="262">
        <v>6.6226326864624735E-2</v>
      </c>
      <c r="N43" s="263">
        <v>14533003</v>
      </c>
      <c r="O43" s="262">
        <v>2.1332471767628782E-2</v>
      </c>
    </row>
    <row r="44" spans="2:15">
      <c r="B44" s="302"/>
      <c r="C44" s="302"/>
      <c r="D44" s="302"/>
      <c r="E44" s="302"/>
      <c r="F44" s="302"/>
      <c r="G44" s="302"/>
      <c r="J44" s="287"/>
      <c r="K44" s="267" t="s">
        <v>203</v>
      </c>
      <c r="L44" s="268">
        <v>11867</v>
      </c>
      <c r="M44" s="269">
        <v>0.1156086820980438</v>
      </c>
      <c r="N44" s="270">
        <v>4335648</v>
      </c>
      <c r="O44" s="269">
        <v>6.3641415717299579E-3</v>
      </c>
    </row>
    <row r="45" spans="2:15">
      <c r="B45" s="302"/>
      <c r="C45" s="302"/>
      <c r="D45" s="302"/>
      <c r="E45" s="302"/>
      <c r="F45" s="302"/>
      <c r="G45" s="302"/>
    </row>
    <row r="46" spans="2:15">
      <c r="F46" s="222"/>
    </row>
    <row r="47" spans="2:15">
      <c r="F47" s="222"/>
    </row>
    <row r="48" spans="2:15">
      <c r="F48" s="222"/>
    </row>
    <row r="49" spans="3:8">
      <c r="C49" s="272"/>
      <c r="F49" s="222"/>
    </row>
    <row r="50" spans="3:8">
      <c r="C50" s="272"/>
      <c r="F50" s="222"/>
    </row>
    <row r="51" spans="3:8">
      <c r="C51" s="272"/>
      <c r="F51" s="222"/>
    </row>
    <row r="52" spans="3:8">
      <c r="F52" s="222"/>
    </row>
    <row r="53" spans="3:8">
      <c r="F53" s="222"/>
    </row>
    <row r="58" spans="3:8" hidden="1">
      <c r="F58" s="306">
        <v>0.57405375957038696</v>
      </c>
      <c r="G58" s="273">
        <v>391081029</v>
      </c>
      <c r="H58" t="s">
        <v>205</v>
      </c>
    </row>
    <row r="59" spans="3:8" hidden="1">
      <c r="F59" s="306">
        <v>0.13474279806074441</v>
      </c>
      <c r="G59" s="273">
        <v>91795152</v>
      </c>
      <c r="H59" t="s">
        <v>206</v>
      </c>
    </row>
    <row r="60" spans="3:8" hidden="1">
      <c r="F60" s="306">
        <v>7.3501364920486423E-2</v>
      </c>
      <c r="G60" s="273">
        <v>50073689</v>
      </c>
      <c r="H60" t="s">
        <v>207</v>
      </c>
    </row>
    <row r="61" spans="3:8" hidden="1">
      <c r="F61" s="306">
        <v>0.15415078417646552</v>
      </c>
      <c r="G61" s="273">
        <v>105017076</v>
      </c>
      <c r="H61" t="s">
        <v>208</v>
      </c>
    </row>
    <row r="62" spans="3:8" hidden="1">
      <c r="F62" s="306">
        <v>2.4689542766223947E-2</v>
      </c>
      <c r="G62" s="273">
        <v>16820048</v>
      </c>
      <c r="H62" t="s">
        <v>70</v>
      </c>
    </row>
    <row r="63" spans="3:8" hidden="1">
      <c r="F63" s="306">
        <v>3.8861750505692724E-2</v>
      </c>
      <c r="G63" s="273">
        <v>26475035</v>
      </c>
      <c r="H63" t="s">
        <v>209</v>
      </c>
    </row>
    <row r="64" spans="3:8" hidden="1">
      <c r="F64" s="222"/>
      <c r="G64" s="274">
        <v>681262029</v>
      </c>
    </row>
    <row r="81" spans="6:6">
      <c r="F81" s="222"/>
    </row>
    <row r="85" spans="6:6">
      <c r="F85" s="222"/>
    </row>
    <row r="104" spans="6:6">
      <c r="F104" s="222"/>
    </row>
    <row r="116" spans="2:8">
      <c r="H116" s="222" t="s">
        <v>210</v>
      </c>
    </row>
    <row r="117" spans="2:8">
      <c r="H117" s="222" t="s">
        <v>211</v>
      </c>
    </row>
    <row r="118" spans="2:8">
      <c r="H118" s="222" t="s">
        <v>211</v>
      </c>
    </row>
    <row r="119" spans="2:8">
      <c r="B119" s="37"/>
      <c r="C119" s="37"/>
      <c r="D119" s="37"/>
      <c r="E119" s="37"/>
      <c r="F119" s="37"/>
      <c r="G119" s="37"/>
    </row>
    <row r="120" spans="2:8">
      <c r="B120" s="37"/>
      <c r="C120" s="225"/>
      <c r="D120" s="37"/>
      <c r="E120" s="307"/>
      <c r="F120" s="37"/>
      <c r="G120" s="307"/>
    </row>
    <row r="121" spans="2:8">
      <c r="B121" s="37"/>
      <c r="C121" s="225"/>
      <c r="D121" s="37"/>
      <c r="E121" s="307"/>
      <c r="F121" s="37"/>
      <c r="G121" s="307"/>
    </row>
    <row r="122" spans="2:8">
      <c r="C122" s="272"/>
      <c r="E122" s="284"/>
      <c r="F122" s="222"/>
      <c r="G122" s="284"/>
    </row>
  </sheetData>
  <mergeCells count="16">
    <mergeCell ref="B1:G1"/>
    <mergeCell ref="J1:O1"/>
    <mergeCell ref="B2:G2"/>
    <mergeCell ref="J2:O2"/>
    <mergeCell ref="B3:G3"/>
    <mergeCell ref="J3:O3"/>
    <mergeCell ref="B10:C10"/>
    <mergeCell ref="J10:K10"/>
    <mergeCell ref="B4:G4"/>
    <mergeCell ref="J4:O4"/>
    <mergeCell ref="B6:G6"/>
    <mergeCell ref="J6:O6"/>
    <mergeCell ref="D8:E8"/>
    <mergeCell ref="F8:G8"/>
    <mergeCell ref="L8:M8"/>
    <mergeCell ref="N8:O8"/>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J75"/>
  <sheetViews>
    <sheetView showGridLines="0" workbookViewId="0">
      <selection activeCell="A3" sqref="A3:J3"/>
    </sheetView>
  </sheetViews>
  <sheetFormatPr defaultColWidth="10.28515625" defaultRowHeight="12.75"/>
  <cols>
    <col min="1" max="1" width="22.85546875" style="208" customWidth="1"/>
    <col min="2" max="2" width="11.42578125" style="208" bestFit="1" customWidth="1"/>
    <col min="3" max="3" width="11" style="208" bestFit="1" customWidth="1"/>
    <col min="4" max="4" width="11.42578125" style="208" customWidth="1"/>
    <col min="5" max="5" width="10.7109375" style="208" customWidth="1"/>
    <col min="6" max="6" width="10.140625" style="208" bestFit="1" customWidth="1"/>
    <col min="7" max="7" width="9.5703125" style="208" customWidth="1"/>
    <col min="8" max="8" width="7.5703125" style="208" customWidth="1"/>
    <col min="9" max="9" width="10.42578125" style="208" bestFit="1" customWidth="1"/>
    <col min="10" max="10" width="11.42578125" style="208" customWidth="1"/>
    <col min="11" max="16384" width="10.28515625" style="208"/>
  </cols>
  <sheetData>
    <row r="1" spans="1:10" ht="15.75">
      <c r="A1" s="1019" t="s">
        <v>212</v>
      </c>
      <c r="B1" s="1020"/>
      <c r="C1" s="1020"/>
      <c r="D1" s="1020"/>
      <c r="E1" s="1020"/>
      <c r="F1" s="1020"/>
      <c r="G1" s="1020"/>
      <c r="H1" s="1020"/>
      <c r="I1" s="1020"/>
      <c r="J1" s="1020"/>
    </row>
    <row r="2" spans="1:10" ht="15.75">
      <c r="A2" s="1019" t="s">
        <v>213</v>
      </c>
      <c r="B2" s="1020"/>
      <c r="C2" s="1020"/>
      <c r="D2" s="1020"/>
      <c r="E2" s="1020"/>
      <c r="F2" s="1020"/>
      <c r="G2" s="1020"/>
      <c r="H2" s="1020"/>
      <c r="I2" s="1020"/>
      <c r="J2" s="1020"/>
    </row>
    <row r="3" spans="1:10" ht="15.75">
      <c r="A3" s="1019" t="s">
        <v>69</v>
      </c>
      <c r="B3" s="1019"/>
      <c r="C3" s="1019"/>
      <c r="D3" s="1019"/>
      <c r="E3" s="1019"/>
      <c r="F3" s="1019"/>
      <c r="G3" s="1019"/>
      <c r="H3" s="1019"/>
      <c r="I3" s="1019"/>
      <c r="J3" s="1019"/>
    </row>
    <row r="4" spans="1:10">
      <c r="A4" s="308"/>
      <c r="B4" s="309"/>
      <c r="C4" s="309"/>
      <c r="D4" s="309"/>
      <c r="E4" s="309"/>
      <c r="F4" s="309"/>
      <c r="G4" s="309"/>
      <c r="H4" s="309"/>
      <c r="I4" s="309"/>
      <c r="J4" s="309"/>
    </row>
    <row r="6" spans="1:10" ht="15">
      <c r="A6" s="310"/>
      <c r="B6" s="1006" t="s">
        <v>214</v>
      </c>
      <c r="C6" s="1021"/>
      <c r="D6" s="1021"/>
      <c r="E6" s="1022" t="s">
        <v>215</v>
      </c>
      <c r="F6" s="1021"/>
      <c r="G6" s="1021"/>
      <c r="H6" s="1021"/>
      <c r="I6" s="1021"/>
      <c r="J6" s="1023"/>
    </row>
    <row r="7" spans="1:10">
      <c r="A7" s="311"/>
      <c r="B7" s="983" t="s">
        <v>216</v>
      </c>
      <c r="C7" s="983" t="s">
        <v>217</v>
      </c>
      <c r="D7" s="983" t="s">
        <v>57</v>
      </c>
      <c r="E7" s="312" t="s">
        <v>218</v>
      </c>
      <c r="F7" s="983" t="s">
        <v>219</v>
      </c>
      <c r="G7" s="983"/>
      <c r="H7" s="1024" t="s">
        <v>220</v>
      </c>
      <c r="I7" s="1025"/>
      <c r="J7" s="313" t="s">
        <v>221</v>
      </c>
    </row>
    <row r="8" spans="1:10" ht="12.75" customHeight="1">
      <c r="A8" s="314" t="s">
        <v>72</v>
      </c>
      <c r="B8" s="315" t="s">
        <v>222</v>
      </c>
      <c r="C8" s="315" t="s">
        <v>223</v>
      </c>
      <c r="D8" s="315" t="s">
        <v>222</v>
      </c>
      <c r="E8" s="316" t="s">
        <v>224</v>
      </c>
      <c r="F8" s="315" t="s">
        <v>225</v>
      </c>
      <c r="G8" s="1099" t="s">
        <v>226</v>
      </c>
      <c r="H8" s="317" t="s">
        <v>217</v>
      </c>
      <c r="I8" s="318" t="s">
        <v>227</v>
      </c>
      <c r="J8" s="319" t="s">
        <v>228</v>
      </c>
    </row>
    <row r="9" spans="1:10" ht="12.75" customHeight="1">
      <c r="A9" s="320"/>
      <c r="B9" s="321"/>
      <c r="C9" s="321"/>
      <c r="D9" s="321"/>
      <c r="E9" s="322"/>
      <c r="F9" s="321"/>
      <c r="G9" s="321"/>
      <c r="H9" s="317"/>
      <c r="I9" s="317"/>
      <c r="J9" s="323"/>
    </row>
    <row r="10" spans="1:10" ht="15">
      <c r="A10" s="190" t="s">
        <v>59</v>
      </c>
      <c r="B10" s="324">
        <v>18393885868</v>
      </c>
      <c r="C10" s="324">
        <v>718035901</v>
      </c>
      <c r="D10" s="324">
        <v>19111921769</v>
      </c>
      <c r="E10" s="325">
        <v>3820564280.8407898</v>
      </c>
      <c r="F10" s="324">
        <v>20699861.82</v>
      </c>
      <c r="G10" s="324">
        <v>3841264142.6607904</v>
      </c>
      <c r="H10" s="324">
        <v>-140111660.92999998</v>
      </c>
      <c r="I10" s="324">
        <v>-5329914.4000000004</v>
      </c>
      <c r="J10" s="326">
        <v>3695822567.3307905</v>
      </c>
    </row>
    <row r="11" spans="1:10" ht="14.25">
      <c r="A11" s="219" t="s">
        <v>82</v>
      </c>
      <c r="B11" s="327">
        <v>8263585871</v>
      </c>
      <c r="C11" s="327">
        <v>388364471</v>
      </c>
      <c r="D11" s="328">
        <v>8651950342</v>
      </c>
      <c r="E11" s="329">
        <v>1729511392.86922</v>
      </c>
      <c r="F11" s="327">
        <v>11778077.26</v>
      </c>
      <c r="G11" s="328">
        <v>1741289470.12922</v>
      </c>
      <c r="H11" s="327">
        <v>-77126871.090000004</v>
      </c>
      <c r="I11" s="327">
        <v>-2769869.57</v>
      </c>
      <c r="J11" s="327">
        <v>1661392729.4692202</v>
      </c>
    </row>
    <row r="12" spans="1:10" ht="14.25">
      <c r="A12" s="219" t="s">
        <v>83</v>
      </c>
      <c r="B12" s="327">
        <v>6755265062</v>
      </c>
      <c r="C12" s="327">
        <v>247509845</v>
      </c>
      <c r="D12" s="328">
        <v>7002774907</v>
      </c>
      <c r="E12" s="329">
        <v>1399924731.65837</v>
      </c>
      <c r="F12" s="327">
        <v>7276512.2599999998</v>
      </c>
      <c r="G12" s="328">
        <v>1407201243.91837</v>
      </c>
      <c r="H12" s="327">
        <v>-47289486.350000001</v>
      </c>
      <c r="I12" s="327">
        <v>-2059344.09</v>
      </c>
      <c r="J12" s="327">
        <v>1357852413.4783702</v>
      </c>
    </row>
    <row r="13" spans="1:10" ht="14.25">
      <c r="A13" s="219" t="s">
        <v>84</v>
      </c>
      <c r="B13" s="327">
        <v>2258271598</v>
      </c>
      <c r="C13" s="327">
        <v>56451912</v>
      </c>
      <c r="D13" s="328">
        <v>2314723510</v>
      </c>
      <c r="E13" s="329">
        <v>462736376.88410002</v>
      </c>
      <c r="F13" s="327">
        <v>1171382.6299999999</v>
      </c>
      <c r="G13" s="328">
        <v>463907759.51410002</v>
      </c>
      <c r="H13" s="327">
        <v>-10769448.48</v>
      </c>
      <c r="I13" s="327">
        <v>-362427.02</v>
      </c>
      <c r="J13" s="327">
        <v>452775884.01410002</v>
      </c>
    </row>
    <row r="14" spans="1:10" ht="14.25">
      <c r="A14" s="219" t="s">
        <v>85</v>
      </c>
      <c r="B14" s="327">
        <v>310399717</v>
      </c>
      <c r="C14" s="327">
        <v>16498089</v>
      </c>
      <c r="D14" s="328">
        <v>326897806</v>
      </c>
      <c r="E14" s="329">
        <v>65350140.397459999</v>
      </c>
      <c r="F14" s="327">
        <v>250091.75</v>
      </c>
      <c r="G14" s="328">
        <v>65600232.147459999</v>
      </c>
      <c r="H14" s="327">
        <v>-3166569.81</v>
      </c>
      <c r="I14" s="327">
        <v>-90435.48</v>
      </c>
      <c r="J14" s="327">
        <v>62343226.85746</v>
      </c>
    </row>
    <row r="15" spans="1:10" ht="14.25">
      <c r="A15" s="219" t="s">
        <v>86</v>
      </c>
      <c r="B15" s="327">
        <v>105473526</v>
      </c>
      <c r="C15" s="327">
        <v>0</v>
      </c>
      <c r="D15" s="328">
        <v>105473526</v>
      </c>
      <c r="E15" s="329">
        <v>21085212.582660001</v>
      </c>
      <c r="F15" s="327">
        <v>0</v>
      </c>
      <c r="G15" s="328">
        <v>21085212.582660001</v>
      </c>
      <c r="H15" s="330">
        <v>0</v>
      </c>
      <c r="I15" s="327">
        <v>-3216.44</v>
      </c>
      <c r="J15" s="327">
        <v>21081996.142659999</v>
      </c>
    </row>
    <row r="16" spans="1:10" ht="14.25">
      <c r="A16" s="219" t="s">
        <v>87</v>
      </c>
      <c r="B16" s="327">
        <v>700890094</v>
      </c>
      <c r="C16" s="327">
        <v>9211584</v>
      </c>
      <c r="D16" s="328">
        <v>710101678</v>
      </c>
      <c r="E16" s="329">
        <v>141956426.44898</v>
      </c>
      <c r="F16" s="327">
        <v>223797.92</v>
      </c>
      <c r="G16" s="328">
        <v>142180224.36897999</v>
      </c>
      <c r="H16" s="327">
        <v>-1759285.2</v>
      </c>
      <c r="I16" s="327">
        <v>-44621.8</v>
      </c>
      <c r="J16" s="327">
        <v>140376317.36897999</v>
      </c>
    </row>
    <row r="17" spans="1:10" ht="15">
      <c r="A17" s="190"/>
      <c r="B17" s="328"/>
      <c r="C17" s="328"/>
      <c r="D17" s="328"/>
      <c r="E17" s="331"/>
      <c r="F17" s="328"/>
      <c r="G17" s="328"/>
      <c r="H17" s="332"/>
      <c r="I17" s="332"/>
      <c r="J17" s="327"/>
    </row>
    <row r="18" spans="1:10" ht="15">
      <c r="A18" s="190" t="s">
        <v>60</v>
      </c>
      <c r="B18" s="333">
        <v>73978854432</v>
      </c>
      <c r="C18" s="333">
        <v>467934307</v>
      </c>
      <c r="D18" s="333">
        <v>74446788739</v>
      </c>
      <c r="E18" s="334">
        <v>9598124472.1192684</v>
      </c>
      <c r="F18" s="333">
        <v>12252953.720000003</v>
      </c>
      <c r="G18" s="333">
        <v>9610627425.8392677</v>
      </c>
      <c r="H18" s="333">
        <v>-64291762.54999999</v>
      </c>
      <c r="I18" s="333">
        <v>-781790381.39999998</v>
      </c>
      <c r="J18" s="335">
        <v>8764545281.8892689</v>
      </c>
    </row>
    <row r="19" spans="1:10" ht="14.25">
      <c r="A19" s="197" t="s">
        <v>88</v>
      </c>
      <c r="B19" s="327">
        <v>31802667973</v>
      </c>
      <c r="C19" s="327">
        <v>319500</v>
      </c>
      <c r="D19" s="328">
        <v>31802987473</v>
      </c>
      <c r="E19" s="329">
        <v>4100059174.8938894</v>
      </c>
      <c r="F19" s="327">
        <v>12571.43</v>
      </c>
      <c r="G19" s="328">
        <v>4100221746.3238893</v>
      </c>
      <c r="H19" s="327">
        <v>-39769.43</v>
      </c>
      <c r="I19" s="327">
        <v>-203973002</v>
      </c>
      <c r="J19" s="327">
        <v>3896208974.8938894</v>
      </c>
    </row>
    <row r="20" spans="1:10" ht="14.25">
      <c r="A20" s="197" t="s">
        <v>89</v>
      </c>
      <c r="B20" s="327">
        <v>19102669378</v>
      </c>
      <c r="C20" s="327">
        <v>360747522</v>
      </c>
      <c r="D20" s="328">
        <v>19463416900</v>
      </c>
      <c r="E20" s="329">
        <v>2509418340.9169998</v>
      </c>
      <c r="F20" s="327">
        <v>9956339.9600000009</v>
      </c>
      <c r="G20" s="328">
        <v>2519474680.8769999</v>
      </c>
      <c r="H20" s="327">
        <v>-50733160.939999998</v>
      </c>
      <c r="I20" s="327">
        <v>-371497414</v>
      </c>
      <c r="J20" s="327">
        <v>2097244105.9369998</v>
      </c>
    </row>
    <row r="21" spans="1:10" ht="14.25">
      <c r="A21" s="197" t="s">
        <v>85</v>
      </c>
      <c r="B21" s="327">
        <v>11860160860</v>
      </c>
      <c r="C21" s="327">
        <v>60664673</v>
      </c>
      <c r="D21" s="328">
        <v>11920825533</v>
      </c>
      <c r="E21" s="329">
        <v>1536952035.9696898</v>
      </c>
      <c r="F21" s="327">
        <v>1192152.33</v>
      </c>
      <c r="G21" s="328">
        <v>1538144188.2996898</v>
      </c>
      <c r="H21" s="327">
        <v>-7674303.9299999997</v>
      </c>
      <c r="I21" s="327">
        <v>-140701167</v>
      </c>
      <c r="J21" s="327">
        <v>1389768717.3696897</v>
      </c>
    </row>
    <row r="22" spans="1:10" ht="14.25">
      <c r="A22" s="197" t="s">
        <v>90</v>
      </c>
      <c r="B22" s="327">
        <v>1100043210</v>
      </c>
      <c r="C22" s="327">
        <v>0</v>
      </c>
      <c r="D22" s="328">
        <v>1100043210</v>
      </c>
      <c r="E22" s="329">
        <v>141828571.06529999</v>
      </c>
      <c r="F22" s="330">
        <v>0</v>
      </c>
      <c r="G22" s="328">
        <v>141828571.06529999</v>
      </c>
      <c r="H22" s="330">
        <v>0</v>
      </c>
      <c r="I22" s="327">
        <v>-3227699</v>
      </c>
      <c r="J22" s="327">
        <v>138600872.06529999</v>
      </c>
    </row>
    <row r="23" spans="1:10" ht="14.25">
      <c r="A23" s="197" t="s">
        <v>91</v>
      </c>
      <c r="B23" s="327">
        <v>1821373057</v>
      </c>
      <c r="C23" s="327">
        <v>19763095</v>
      </c>
      <c r="D23" s="328">
        <v>1841136152</v>
      </c>
      <c r="E23" s="329">
        <v>237377684.07735997</v>
      </c>
      <c r="F23" s="327">
        <v>551786.4</v>
      </c>
      <c r="G23" s="328">
        <v>237929470.47735998</v>
      </c>
      <c r="H23" s="327">
        <v>-2517164.08</v>
      </c>
      <c r="I23" s="327">
        <v>-28449454</v>
      </c>
      <c r="J23" s="327">
        <v>206962852.39735997</v>
      </c>
    </row>
    <row r="24" spans="1:10" ht="14.25">
      <c r="A24" s="197" t="s">
        <v>131</v>
      </c>
      <c r="B24" s="327">
        <v>6818056096</v>
      </c>
      <c r="C24" s="327">
        <v>13796082</v>
      </c>
      <c r="D24" s="328">
        <v>6831852178</v>
      </c>
      <c r="E24" s="329">
        <v>880830701.30953991</v>
      </c>
      <c r="F24" s="327">
        <v>385846.31</v>
      </c>
      <c r="G24" s="328">
        <v>881216547.61953986</v>
      </c>
      <c r="H24" s="327">
        <v>-1711874.89</v>
      </c>
      <c r="I24" s="327">
        <v>-16352541</v>
      </c>
      <c r="J24" s="327">
        <v>863152131.72953987</v>
      </c>
    </row>
    <row r="25" spans="1:10" ht="14.25">
      <c r="A25" s="197" t="s">
        <v>132</v>
      </c>
      <c r="B25" s="327">
        <v>707024890</v>
      </c>
      <c r="C25" s="327">
        <v>9762548</v>
      </c>
      <c r="D25" s="328">
        <v>716787438</v>
      </c>
      <c r="E25" s="329">
        <v>92415404.381339997</v>
      </c>
      <c r="F25" s="327">
        <v>123062.46</v>
      </c>
      <c r="G25" s="328">
        <v>92538466.84133999</v>
      </c>
      <c r="H25" s="327">
        <v>-1247665.8700000001</v>
      </c>
      <c r="I25" s="327">
        <v>-11646256</v>
      </c>
      <c r="J25" s="327">
        <v>79644544.971339986</v>
      </c>
    </row>
    <row r="26" spans="1:10" ht="14.25">
      <c r="A26" s="197" t="s">
        <v>133</v>
      </c>
      <c r="B26" s="327">
        <v>736072074</v>
      </c>
      <c r="C26" s="327">
        <v>2627134</v>
      </c>
      <c r="D26" s="328">
        <v>738699208</v>
      </c>
      <c r="E26" s="329">
        <v>95240488.887439996</v>
      </c>
      <c r="F26" s="327">
        <v>31194.83</v>
      </c>
      <c r="G26" s="328">
        <v>95271683.717439994</v>
      </c>
      <c r="H26" s="327">
        <v>-335267.05</v>
      </c>
      <c r="I26" s="327">
        <v>-5505939</v>
      </c>
      <c r="J26" s="327">
        <v>89430477.667439997</v>
      </c>
    </row>
    <row r="27" spans="1:10" ht="14.25">
      <c r="A27" s="197" t="s">
        <v>134</v>
      </c>
      <c r="B27" s="327">
        <v>30786894</v>
      </c>
      <c r="C27" s="327">
        <v>253753</v>
      </c>
      <c r="D27" s="328">
        <v>31040647</v>
      </c>
      <c r="E27" s="329">
        <v>4002070.6177099994</v>
      </c>
      <c r="F27" s="330">
        <v>0</v>
      </c>
      <c r="G27" s="328">
        <v>4002070.6177099994</v>
      </c>
      <c r="H27" s="327">
        <v>-32556.36</v>
      </c>
      <c r="I27" s="327">
        <v>-436909.4</v>
      </c>
      <c r="J27" s="327">
        <v>3532604.8577099997</v>
      </c>
    </row>
    <row r="28" spans="1:10">
      <c r="A28" s="336"/>
      <c r="B28" s="337"/>
      <c r="C28" s="337"/>
      <c r="D28" s="337"/>
      <c r="E28" s="338"/>
      <c r="F28" s="337"/>
      <c r="G28" s="337"/>
      <c r="H28" s="337"/>
      <c r="I28" s="337"/>
      <c r="J28" s="336"/>
    </row>
    <row r="29" spans="1:10" ht="15">
      <c r="A29" s="190" t="s">
        <v>61</v>
      </c>
      <c r="B29" s="333">
        <v>14203259742</v>
      </c>
      <c r="C29" s="339">
        <v>0</v>
      </c>
      <c r="D29" s="333">
        <v>14203259742</v>
      </c>
      <c r="E29" s="334">
        <v>1552984420.19028</v>
      </c>
      <c r="F29" s="339">
        <v>0</v>
      </c>
      <c r="G29" s="333">
        <v>1553049420.19028</v>
      </c>
      <c r="H29" s="339">
        <v>0</v>
      </c>
      <c r="I29" s="339">
        <v>0</v>
      </c>
      <c r="J29" s="335">
        <v>1553049420.19028</v>
      </c>
    </row>
    <row r="30" spans="1:10" ht="14.25">
      <c r="A30" s="197" t="s">
        <v>96</v>
      </c>
      <c r="B30" s="327">
        <v>11547511470</v>
      </c>
      <c r="C30" s="330">
        <v>0</v>
      </c>
      <c r="D30" s="328">
        <v>11547511470</v>
      </c>
      <c r="E30" s="331">
        <v>1262604904.1298001</v>
      </c>
      <c r="F30" s="330">
        <v>0</v>
      </c>
      <c r="G30" s="328">
        <v>1262669904.1298001</v>
      </c>
      <c r="H30" s="330">
        <v>0</v>
      </c>
      <c r="I30" s="330">
        <v>0</v>
      </c>
      <c r="J30" s="327">
        <v>1262669904.1298001</v>
      </c>
    </row>
    <row r="31" spans="1:10" ht="14.25">
      <c r="A31" s="197" t="s">
        <v>97</v>
      </c>
      <c r="B31" s="327">
        <v>2655628572</v>
      </c>
      <c r="C31" s="330">
        <v>0</v>
      </c>
      <c r="D31" s="328">
        <v>2655628572</v>
      </c>
      <c r="E31" s="331">
        <v>290366428.06248003</v>
      </c>
      <c r="F31" s="330">
        <v>0</v>
      </c>
      <c r="G31" s="328">
        <v>290366428.06248003</v>
      </c>
      <c r="H31" s="330">
        <v>0</v>
      </c>
      <c r="I31" s="330">
        <v>0</v>
      </c>
      <c r="J31" s="327">
        <v>290366428.06248003</v>
      </c>
    </row>
    <row r="32" spans="1:10" ht="14.25">
      <c r="A32" s="197" t="s">
        <v>87</v>
      </c>
      <c r="B32" s="327">
        <v>119700</v>
      </c>
      <c r="C32" s="330">
        <v>0</v>
      </c>
      <c r="D32" s="328">
        <v>119700</v>
      </c>
      <c r="E32" s="331">
        <v>13087.998000000001</v>
      </c>
      <c r="F32" s="330">
        <v>0</v>
      </c>
      <c r="G32" s="328">
        <v>13087.998000000001</v>
      </c>
      <c r="H32" s="330">
        <v>0</v>
      </c>
      <c r="I32" s="330">
        <v>0</v>
      </c>
      <c r="J32" s="327">
        <v>13087.998000000001</v>
      </c>
    </row>
    <row r="33" spans="1:10" ht="15">
      <c r="A33" s="190"/>
      <c r="B33" s="328"/>
      <c r="C33" s="328"/>
      <c r="D33" s="328"/>
      <c r="E33" s="331"/>
      <c r="F33" s="328"/>
      <c r="G33" s="328"/>
      <c r="H33" s="332"/>
      <c r="I33" s="332"/>
      <c r="J33" s="327"/>
    </row>
    <row r="34" spans="1:10" ht="15">
      <c r="A34" s="190" t="s">
        <v>62</v>
      </c>
      <c r="B34" s="333">
        <v>102035092967</v>
      </c>
      <c r="C34" s="333">
        <v>108245</v>
      </c>
      <c r="D34" s="333">
        <v>102035201212</v>
      </c>
      <c r="E34" s="334">
        <v>10789102176.156879</v>
      </c>
      <c r="F34" s="339">
        <v>0</v>
      </c>
      <c r="G34" s="333">
        <v>10789157176.156879</v>
      </c>
      <c r="H34" s="333">
        <v>-11449.3</v>
      </c>
      <c r="I34" s="333">
        <v>-102355814.93000002</v>
      </c>
      <c r="J34" s="335">
        <v>10686689911.926878</v>
      </c>
    </row>
    <row r="35" spans="1:10" ht="14.25">
      <c r="A35" s="197" t="s">
        <v>98</v>
      </c>
      <c r="B35" s="327">
        <v>47715249775</v>
      </c>
      <c r="C35" s="327">
        <v>28500</v>
      </c>
      <c r="D35" s="328">
        <v>47715278275</v>
      </c>
      <c r="E35" s="331">
        <v>5045313524.7985001</v>
      </c>
      <c r="F35" s="330">
        <v>0</v>
      </c>
      <c r="G35" s="328">
        <v>5045368524.7985001</v>
      </c>
      <c r="H35" s="327">
        <v>-3030</v>
      </c>
      <c r="I35" s="327">
        <v>-15255077.970000001</v>
      </c>
      <c r="J35" s="327">
        <v>5030110416.8284998</v>
      </c>
    </row>
    <row r="36" spans="1:10" ht="14.25">
      <c r="A36" s="197" t="s">
        <v>101</v>
      </c>
      <c r="B36" s="327">
        <v>13391159907</v>
      </c>
      <c r="C36" s="327">
        <v>46110</v>
      </c>
      <c r="D36" s="328">
        <v>13391206017</v>
      </c>
      <c r="E36" s="331">
        <v>1415986124.2375801</v>
      </c>
      <c r="F36" s="330">
        <v>0</v>
      </c>
      <c r="G36" s="328">
        <v>1415986124.2375801</v>
      </c>
      <c r="H36" s="327">
        <v>-4848</v>
      </c>
      <c r="I36" s="327">
        <v>-25056540.34</v>
      </c>
      <c r="J36" s="327">
        <v>1390924735.8975801</v>
      </c>
    </row>
    <row r="37" spans="1:10" ht="14.25">
      <c r="A37" s="197" t="s">
        <v>100</v>
      </c>
      <c r="B37" s="327">
        <v>1374296883</v>
      </c>
      <c r="C37" s="327">
        <v>6210</v>
      </c>
      <c r="D37" s="328">
        <v>1374303093</v>
      </c>
      <c r="E37" s="331">
        <v>145318809.05382001</v>
      </c>
      <c r="F37" s="330">
        <v>0</v>
      </c>
      <c r="G37" s="328">
        <v>145318809.05382001</v>
      </c>
      <c r="H37" s="327">
        <v>-606</v>
      </c>
      <c r="I37" s="327">
        <v>-115193.25</v>
      </c>
      <c r="J37" s="327">
        <v>145203009.80382001</v>
      </c>
    </row>
    <row r="38" spans="1:10" ht="14.25">
      <c r="A38" s="197" t="s">
        <v>118</v>
      </c>
      <c r="B38" s="327">
        <v>3065072671</v>
      </c>
      <c r="C38" s="327">
        <v>0</v>
      </c>
      <c r="D38" s="328">
        <v>3065072671</v>
      </c>
      <c r="E38" s="331">
        <v>324100784.23154002</v>
      </c>
      <c r="F38" s="330">
        <v>0</v>
      </c>
      <c r="G38" s="328">
        <v>324100784.23154002</v>
      </c>
      <c r="H38" s="330">
        <v>0</v>
      </c>
      <c r="I38" s="327">
        <v>0</v>
      </c>
      <c r="J38" s="327">
        <v>324100784.23154002</v>
      </c>
    </row>
    <row r="39" spans="1:10" ht="14.25">
      <c r="A39" s="197" t="s">
        <v>114</v>
      </c>
      <c r="B39" s="327">
        <v>8160851543</v>
      </c>
      <c r="C39" s="327">
        <v>0</v>
      </c>
      <c r="D39" s="328">
        <v>8160851543</v>
      </c>
      <c r="E39" s="331">
        <v>862928442.15682006</v>
      </c>
      <c r="F39" s="330">
        <v>0</v>
      </c>
      <c r="G39" s="328">
        <v>862928442.15682006</v>
      </c>
      <c r="H39" s="330">
        <v>0</v>
      </c>
      <c r="I39" s="327">
        <v>-15942682.48</v>
      </c>
      <c r="J39" s="327">
        <v>846985759.67682004</v>
      </c>
    </row>
    <row r="40" spans="1:10" ht="14.25">
      <c r="A40" s="197" t="s">
        <v>103</v>
      </c>
      <c r="B40" s="327">
        <v>1614063000</v>
      </c>
      <c r="C40" s="327">
        <v>0</v>
      </c>
      <c r="D40" s="328">
        <v>1614063000</v>
      </c>
      <c r="E40" s="331">
        <v>170671021.62</v>
      </c>
      <c r="F40" s="330">
        <v>0</v>
      </c>
      <c r="G40" s="328">
        <v>170671021.62</v>
      </c>
      <c r="H40" s="330">
        <v>0</v>
      </c>
      <c r="I40" s="327">
        <v>-3682148.77</v>
      </c>
      <c r="J40" s="327">
        <v>166988872.84999999</v>
      </c>
    </row>
    <row r="41" spans="1:10" ht="14.25">
      <c r="A41" s="197" t="s">
        <v>135</v>
      </c>
      <c r="B41" s="327">
        <v>16043143111</v>
      </c>
      <c r="C41" s="327">
        <v>27425</v>
      </c>
      <c r="D41" s="328">
        <v>16043170536</v>
      </c>
      <c r="E41" s="331">
        <v>1696404852.47664</v>
      </c>
      <c r="F41" s="330">
        <v>0</v>
      </c>
      <c r="G41" s="328">
        <v>1696304852.47664</v>
      </c>
      <c r="H41" s="328">
        <v>-2877.3</v>
      </c>
      <c r="I41" s="327">
        <v>-23636223.399999999</v>
      </c>
      <c r="J41" s="327">
        <v>1672665751.7766399</v>
      </c>
    </row>
    <row r="42" spans="1:10" ht="14.25">
      <c r="A42" s="197" t="s">
        <v>108</v>
      </c>
      <c r="B42" s="327">
        <v>2599821232</v>
      </c>
      <c r="C42" s="330">
        <v>0</v>
      </c>
      <c r="D42" s="328">
        <v>2599821232</v>
      </c>
      <c r="E42" s="331">
        <v>274905097.07168001</v>
      </c>
      <c r="F42" s="330">
        <v>0</v>
      </c>
      <c r="G42" s="328">
        <v>274905097.07168001</v>
      </c>
      <c r="H42" s="328">
        <v>-88</v>
      </c>
      <c r="I42" s="327">
        <v>-2808054</v>
      </c>
      <c r="J42" s="327">
        <v>272096955.07168001</v>
      </c>
    </row>
    <row r="43" spans="1:10" ht="14.25">
      <c r="A43" s="197" t="s">
        <v>104</v>
      </c>
      <c r="B43" s="327">
        <v>2727021045</v>
      </c>
      <c r="C43" s="330">
        <v>0</v>
      </c>
      <c r="D43" s="328">
        <v>2727021045</v>
      </c>
      <c r="E43" s="331">
        <v>288355205.29830003</v>
      </c>
      <c r="F43" s="330">
        <v>0</v>
      </c>
      <c r="G43" s="328">
        <v>288355205.29830003</v>
      </c>
      <c r="H43" s="330">
        <v>0</v>
      </c>
      <c r="I43" s="327">
        <v>-9247806.4600000009</v>
      </c>
      <c r="J43" s="327">
        <v>279107398.83830005</v>
      </c>
    </row>
    <row r="44" spans="1:10" ht="14.25">
      <c r="A44" s="197" t="s">
        <v>86</v>
      </c>
      <c r="B44" s="327">
        <v>1161590458</v>
      </c>
      <c r="C44" s="330">
        <v>0</v>
      </c>
      <c r="D44" s="328">
        <v>1161590458</v>
      </c>
      <c r="E44" s="331">
        <v>122826575.02891999</v>
      </c>
      <c r="F44" s="330">
        <v>0</v>
      </c>
      <c r="G44" s="328">
        <v>122826575.02891999</v>
      </c>
      <c r="H44" s="330">
        <v>0</v>
      </c>
      <c r="I44" s="327">
        <v>-4085.92</v>
      </c>
      <c r="J44" s="327">
        <v>122822489.10891999</v>
      </c>
    </row>
    <row r="45" spans="1:10" ht="14.25">
      <c r="A45" s="197" t="s">
        <v>110</v>
      </c>
      <c r="B45" s="327">
        <v>2194148149</v>
      </c>
      <c r="C45" s="330">
        <v>0</v>
      </c>
      <c r="D45" s="328">
        <v>2194148149</v>
      </c>
      <c r="E45" s="331">
        <v>232009225.27526</v>
      </c>
      <c r="F45" s="330">
        <v>0</v>
      </c>
      <c r="G45" s="328">
        <v>232009225.27526</v>
      </c>
      <c r="H45" s="330">
        <v>0</v>
      </c>
      <c r="I45" s="327">
        <v>-4821616.18</v>
      </c>
      <c r="J45" s="327">
        <v>227187609.09525999</v>
      </c>
    </row>
    <row r="46" spans="1:10" ht="14.25">
      <c r="A46" s="197" t="s">
        <v>111</v>
      </c>
      <c r="B46" s="327">
        <v>380558578</v>
      </c>
      <c r="C46" s="330">
        <v>0</v>
      </c>
      <c r="D46" s="328">
        <v>380558578</v>
      </c>
      <c r="E46" s="331">
        <v>40240264.037720002</v>
      </c>
      <c r="F46" s="330">
        <v>0</v>
      </c>
      <c r="G46" s="328">
        <v>40240264.037720002</v>
      </c>
      <c r="H46" s="330">
        <v>0</v>
      </c>
      <c r="I46" s="327">
        <v>-1410601.76</v>
      </c>
      <c r="J46" s="327">
        <v>38829662.277720004</v>
      </c>
    </row>
    <row r="47" spans="1:10" ht="14.25" customHeight="1">
      <c r="A47" s="197" t="s">
        <v>112</v>
      </c>
      <c r="B47" s="327">
        <v>609776622</v>
      </c>
      <c r="C47" s="330">
        <v>0</v>
      </c>
      <c r="D47" s="328">
        <v>609776622</v>
      </c>
      <c r="E47" s="331">
        <v>64477780.010279998</v>
      </c>
      <c r="F47" s="330">
        <v>0</v>
      </c>
      <c r="G47" s="328">
        <v>64477780.010279998</v>
      </c>
      <c r="H47" s="330">
        <v>0</v>
      </c>
      <c r="I47" s="327">
        <v>-375784.4</v>
      </c>
      <c r="J47" s="327">
        <v>64101995.61028</v>
      </c>
    </row>
    <row r="48" spans="1:10" ht="14.25">
      <c r="A48" s="197" t="s">
        <v>87</v>
      </c>
      <c r="B48" s="327">
        <v>998339993</v>
      </c>
      <c r="C48" s="330">
        <v>0</v>
      </c>
      <c r="D48" s="328">
        <v>998339993</v>
      </c>
      <c r="E48" s="331">
        <v>105564470.85981999</v>
      </c>
      <c r="F48" s="330">
        <v>0</v>
      </c>
      <c r="G48" s="328">
        <v>105564470.85981999</v>
      </c>
      <c r="H48" s="330">
        <v>0</v>
      </c>
      <c r="I48" s="330">
        <v>0</v>
      </c>
      <c r="J48" s="327">
        <v>105564470.85981999</v>
      </c>
    </row>
    <row r="49" spans="1:10" ht="14.25">
      <c r="A49" s="197"/>
      <c r="B49" s="328"/>
      <c r="C49" s="328"/>
      <c r="D49" s="328"/>
      <c r="E49" s="331"/>
      <c r="F49" s="328"/>
      <c r="G49" s="328"/>
      <c r="H49" s="328"/>
      <c r="I49" s="332"/>
      <c r="J49" s="327"/>
    </row>
    <row r="50" spans="1:10" ht="15" customHeight="1">
      <c r="A50" s="340" t="s">
        <v>120</v>
      </c>
      <c r="B50" s="341">
        <v>208611093009</v>
      </c>
      <c r="C50" s="341">
        <v>1186078453</v>
      </c>
      <c r="D50" s="342">
        <v>209797171462</v>
      </c>
      <c r="E50" s="343">
        <v>25760775349.30722</v>
      </c>
      <c r="F50" s="341">
        <v>32952815.540000003</v>
      </c>
      <c r="G50" s="341">
        <v>25794098164.847218</v>
      </c>
      <c r="H50" s="341">
        <v>-204414872.77999997</v>
      </c>
      <c r="I50" s="341">
        <v>-889476110.73000002</v>
      </c>
      <c r="J50" s="979">
        <v>24700107181.337215</v>
      </c>
    </row>
    <row r="51" spans="1:10">
      <c r="A51" s="344"/>
      <c r="B51" s="344"/>
      <c r="C51" s="344"/>
      <c r="D51" s="345"/>
      <c r="E51" s="344"/>
      <c r="F51" s="344"/>
      <c r="G51" s="346"/>
      <c r="H51" s="344"/>
      <c r="I51" s="344"/>
      <c r="J51" s="344"/>
    </row>
    <row r="52" spans="1:10">
      <c r="D52" s="347"/>
    </row>
    <row r="54" spans="1:10" ht="15.75">
      <c r="A54" s="1100"/>
      <c r="B54" s="1100"/>
      <c r="C54" s="1100"/>
      <c r="D54" s="1100"/>
      <c r="E54" s="1100"/>
      <c r="F54" s="1100"/>
      <c r="G54" s="1100"/>
    </row>
    <row r="55" spans="1:10" ht="15.75">
      <c r="A55" s="1101"/>
      <c r="B55" s="1101"/>
      <c r="C55" s="1101"/>
      <c r="D55" s="1101"/>
      <c r="E55" s="1101"/>
      <c r="F55" s="1101"/>
      <c r="G55" s="1101"/>
    </row>
    <row r="56" spans="1:10" ht="15">
      <c r="A56" s="348"/>
      <c r="B56" s="352"/>
      <c r="C56" s="352"/>
      <c r="D56" s="352"/>
      <c r="E56" s="352"/>
      <c r="F56" s="352"/>
      <c r="G56" s="352"/>
    </row>
    <row r="57" spans="1:10">
      <c r="A57" s="982" t="s">
        <v>229</v>
      </c>
      <c r="B57" s="982" t="s">
        <v>230</v>
      </c>
      <c r="C57" s="982" t="s">
        <v>142</v>
      </c>
      <c r="D57" s="1018" t="s">
        <v>231</v>
      </c>
      <c r="E57" s="1018"/>
      <c r="F57" s="1018"/>
      <c r="G57" s="1018"/>
      <c r="H57" s="982"/>
      <c r="I57" s="349"/>
      <c r="J57" s="349"/>
    </row>
    <row r="58" spans="1:10">
      <c r="A58" s="350"/>
      <c r="B58" s="350"/>
      <c r="C58" s="351" t="s">
        <v>145</v>
      </c>
      <c r="D58" s="350"/>
      <c r="E58" s="350"/>
      <c r="F58" s="350"/>
      <c r="G58" s="350"/>
      <c r="H58" s="350"/>
      <c r="I58" s="349"/>
      <c r="J58" s="349"/>
    </row>
    <row r="59" spans="1:10" ht="14.25">
      <c r="A59" s="349"/>
      <c r="B59" s="349"/>
      <c r="C59" s="1261"/>
      <c r="D59" s="353"/>
      <c r="E59" s="1262"/>
      <c r="F59" s="1262"/>
      <c r="G59" s="1262"/>
    </row>
    <row r="60" spans="1:10" ht="14.25">
      <c r="A60" s="1261" t="s">
        <v>232</v>
      </c>
      <c r="B60" s="1263"/>
      <c r="C60" s="1264">
        <v>208611093009</v>
      </c>
      <c r="D60" s="1261" t="s">
        <v>233</v>
      </c>
      <c r="E60" s="1261"/>
      <c r="F60" s="1261"/>
      <c r="G60" s="1261"/>
    </row>
    <row r="61" spans="1:10" ht="14.25">
      <c r="A61" s="1265" t="s">
        <v>217</v>
      </c>
      <c r="B61" s="1266" t="s">
        <v>234</v>
      </c>
      <c r="C61" s="1267">
        <v>1186078453</v>
      </c>
      <c r="D61" s="1261" t="s">
        <v>235</v>
      </c>
      <c r="E61" s="1261"/>
      <c r="F61" s="1261"/>
      <c r="G61" s="1261"/>
    </row>
    <row r="62" spans="1:10" ht="14.25">
      <c r="A62" s="1261" t="s">
        <v>236</v>
      </c>
      <c r="B62" s="1263"/>
      <c r="C62" s="1264">
        <v>209797171462</v>
      </c>
      <c r="D62" s="1261" t="s">
        <v>237</v>
      </c>
      <c r="E62" s="1261"/>
      <c r="F62" s="1261"/>
      <c r="G62" s="1261"/>
      <c r="J62" s="1102"/>
    </row>
    <row r="63" spans="1:10" ht="14.25">
      <c r="A63" s="1261"/>
      <c r="B63" s="1263"/>
      <c r="C63" s="1261"/>
      <c r="D63" s="1261"/>
      <c r="E63" s="1261"/>
      <c r="F63" s="1261"/>
      <c r="G63" s="1261"/>
    </row>
    <row r="64" spans="1:10" ht="14.25">
      <c r="A64" s="1261" t="s">
        <v>238</v>
      </c>
      <c r="B64" s="1263"/>
      <c r="C64" s="1264">
        <v>25760775349.30722</v>
      </c>
      <c r="D64" s="1261" t="s">
        <v>511</v>
      </c>
      <c r="E64" s="1261"/>
      <c r="F64" s="1261"/>
      <c r="G64" s="1261"/>
    </row>
    <row r="65" spans="1:10" ht="14.25">
      <c r="A65" s="1265" t="s">
        <v>239</v>
      </c>
      <c r="B65" s="1266" t="s">
        <v>234</v>
      </c>
      <c r="C65" s="1267">
        <v>32952815.540000003</v>
      </c>
      <c r="D65" s="1261" t="s">
        <v>240</v>
      </c>
      <c r="E65" s="1261"/>
      <c r="F65" s="1261"/>
      <c r="G65" s="1261"/>
    </row>
    <row r="66" spans="1:10" ht="14.25">
      <c r="A66" s="1261" t="s">
        <v>241</v>
      </c>
      <c r="B66" s="1261"/>
      <c r="C66" s="1264">
        <v>25794098164.847218</v>
      </c>
      <c r="D66" s="1261" t="s">
        <v>242</v>
      </c>
      <c r="E66" s="1261"/>
      <c r="F66" s="1261"/>
      <c r="G66" s="1261"/>
      <c r="J66" s="357"/>
    </row>
    <row r="67" spans="1:10" ht="14.25">
      <c r="A67" s="1261"/>
      <c r="B67" s="1261"/>
      <c r="C67" s="1261"/>
      <c r="D67" s="1261"/>
      <c r="E67" s="1261"/>
      <c r="F67" s="1261"/>
      <c r="G67" s="1261"/>
    </row>
    <row r="68" spans="1:10" ht="14.25">
      <c r="A68" s="356" t="s">
        <v>220</v>
      </c>
      <c r="B68" s="1261"/>
      <c r="C68" s="1261"/>
      <c r="D68" s="1261"/>
      <c r="E68" s="1261"/>
      <c r="F68" s="1261"/>
      <c r="G68" s="1261"/>
    </row>
    <row r="69" spans="1:10" ht="14.25">
      <c r="A69" s="1261" t="s">
        <v>241</v>
      </c>
      <c r="B69" s="1263"/>
      <c r="C69" s="1264">
        <v>25794098164.847218</v>
      </c>
      <c r="D69" s="1261"/>
      <c r="E69" s="1261"/>
      <c r="F69" s="1261"/>
      <c r="G69" s="1261"/>
    </row>
    <row r="70" spans="1:10" ht="14.25">
      <c r="A70" s="1261" t="s">
        <v>217</v>
      </c>
      <c r="B70" s="1263" t="s">
        <v>243</v>
      </c>
      <c r="C70" s="1264">
        <v>204414872.77999997</v>
      </c>
      <c r="D70" s="1261" t="s">
        <v>244</v>
      </c>
      <c r="E70" s="1261"/>
      <c r="F70" s="1261"/>
      <c r="G70" s="1261"/>
    </row>
    <row r="71" spans="1:10" ht="14.25">
      <c r="A71" s="1265" t="s">
        <v>245</v>
      </c>
      <c r="B71" s="1266" t="s">
        <v>243</v>
      </c>
      <c r="C71" s="1267">
        <v>889451110.73000002</v>
      </c>
      <c r="D71" s="1261" t="s">
        <v>246</v>
      </c>
      <c r="E71" s="1261"/>
      <c r="F71" s="1261"/>
      <c r="G71" s="1261"/>
    </row>
    <row r="72" spans="1:10" ht="14.25">
      <c r="A72" s="1261" t="s">
        <v>247</v>
      </c>
      <c r="B72" s="1261"/>
      <c r="C72" s="1264">
        <v>24700107181.337215</v>
      </c>
      <c r="D72" s="1261" t="s">
        <v>248</v>
      </c>
      <c r="E72" s="1261"/>
      <c r="F72" s="1261"/>
      <c r="G72" s="1261"/>
      <c r="J72" s="357"/>
    </row>
    <row r="73" spans="1:10">
      <c r="C73" s="357"/>
    </row>
    <row r="75" spans="1:10">
      <c r="A75" s="208" t="s">
        <v>249</v>
      </c>
    </row>
  </sheetData>
  <mergeCells count="8">
    <mergeCell ref="A54:G54"/>
    <mergeCell ref="D57:G57"/>
    <mergeCell ref="A1:J1"/>
    <mergeCell ref="A2:J2"/>
    <mergeCell ref="A3:J3"/>
    <mergeCell ref="B6:D6"/>
    <mergeCell ref="E6:J6"/>
    <mergeCell ref="H7:I7"/>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L44"/>
  <sheetViews>
    <sheetView showGridLines="0" workbookViewId="0">
      <selection sqref="A1:L1"/>
    </sheetView>
  </sheetViews>
  <sheetFormatPr defaultColWidth="10.28515625" defaultRowHeight="12.75"/>
  <cols>
    <col min="1" max="1" width="20.42578125" style="208" customWidth="1"/>
    <col min="2" max="2" width="12.5703125" style="208" customWidth="1"/>
    <col min="3" max="3" width="13" style="208" customWidth="1"/>
    <col min="4" max="4" width="14.28515625" style="208" customWidth="1"/>
    <col min="5" max="5" width="11.5703125" style="208" bestFit="1" customWidth="1"/>
    <col min="6" max="6" width="12.7109375" style="208" bestFit="1" customWidth="1"/>
    <col min="7" max="7" width="13.7109375" style="208" customWidth="1"/>
    <col min="8" max="8" width="12.42578125" style="208" bestFit="1" customWidth="1"/>
    <col min="9" max="9" width="12.42578125" style="208" customWidth="1"/>
    <col min="10" max="10" width="11.28515625" style="208" customWidth="1"/>
    <col min="11" max="12" width="13.5703125" style="208" customWidth="1"/>
    <col min="13" max="16384" width="10.28515625" style="208"/>
  </cols>
  <sheetData>
    <row r="1" spans="1:12" ht="15.75">
      <c r="A1" s="1019" t="s">
        <v>267</v>
      </c>
      <c r="B1" s="1026"/>
      <c r="C1" s="1026"/>
      <c r="D1" s="1026"/>
      <c r="E1" s="1026"/>
      <c r="F1" s="1026"/>
      <c r="G1" s="1026"/>
      <c r="H1" s="1026"/>
      <c r="I1" s="1026"/>
      <c r="J1" s="1026"/>
      <c r="K1" s="1026"/>
      <c r="L1" s="1026"/>
    </row>
    <row r="2" spans="1:12" ht="15.75">
      <c r="A2" s="1019" t="s">
        <v>268</v>
      </c>
      <c r="B2" s="1027"/>
      <c r="C2" s="1027"/>
      <c r="D2" s="1027"/>
      <c r="E2" s="1027"/>
      <c r="F2" s="1027"/>
      <c r="G2" s="1027"/>
      <c r="H2" s="1027"/>
      <c r="I2" s="1027"/>
      <c r="J2" s="1027"/>
      <c r="K2" s="1027"/>
      <c r="L2" s="1027"/>
    </row>
    <row r="3" spans="1:12" ht="15.75">
      <c r="A3" s="1019" t="s">
        <v>269</v>
      </c>
      <c r="B3" s="1027"/>
      <c r="C3" s="1027"/>
      <c r="D3" s="1027"/>
      <c r="E3" s="1027"/>
      <c r="F3" s="1027"/>
      <c r="G3" s="1027"/>
      <c r="H3" s="1027"/>
      <c r="I3" s="1027"/>
      <c r="J3" s="1027"/>
      <c r="K3" s="1027"/>
      <c r="L3" s="1027"/>
    </row>
    <row r="4" spans="1:12">
      <c r="A4" s="212"/>
      <c r="B4" s="212"/>
      <c r="C4" s="212"/>
      <c r="D4" s="212"/>
      <c r="E4" s="212"/>
      <c r="F4" s="212"/>
      <c r="G4" s="212"/>
      <c r="H4" s="212"/>
      <c r="I4" s="212"/>
      <c r="J4" s="212"/>
      <c r="K4" s="212"/>
      <c r="L4" s="212"/>
    </row>
    <row r="5" spans="1:12" ht="15">
      <c r="A5" s="361"/>
      <c r="B5" s="1028" t="s">
        <v>250</v>
      </c>
      <c r="C5" s="1029"/>
      <c r="D5" s="1029"/>
      <c r="E5" s="1029"/>
      <c r="F5" s="1029"/>
      <c r="G5" s="1029"/>
      <c r="H5" s="1029"/>
      <c r="I5" s="1029"/>
      <c r="J5" s="1029"/>
      <c r="K5" s="1029"/>
      <c r="L5" s="1030"/>
    </row>
    <row r="6" spans="1:12" ht="30.75" customHeight="1">
      <c r="A6" s="362"/>
      <c r="B6" s="1031" t="s">
        <v>251</v>
      </c>
      <c r="C6" s="1032"/>
      <c r="D6" s="1033" t="s">
        <v>252</v>
      </c>
      <c r="E6" s="363"/>
      <c r="F6" s="364"/>
      <c r="G6" s="364"/>
      <c r="H6" s="364"/>
      <c r="I6" s="364"/>
      <c r="J6" s="365"/>
      <c r="K6" s="365"/>
      <c r="L6" s="405"/>
    </row>
    <row r="7" spans="1:12" ht="15" customHeight="1">
      <c r="A7" s="366"/>
      <c r="B7" s="367" t="s">
        <v>253</v>
      </c>
      <c r="C7" s="367" t="s">
        <v>70</v>
      </c>
      <c r="D7" s="1199"/>
      <c r="E7" s="367"/>
      <c r="F7" s="367"/>
      <c r="G7" s="367"/>
      <c r="H7" s="368"/>
      <c r="I7" s="367" t="s">
        <v>254</v>
      </c>
      <c r="J7" s="365" t="s">
        <v>255</v>
      </c>
      <c r="K7" s="365" t="s">
        <v>256</v>
      </c>
      <c r="L7" s="368"/>
    </row>
    <row r="8" spans="1:12" ht="15" customHeight="1">
      <c r="A8" s="366" t="s">
        <v>72</v>
      </c>
      <c r="B8" s="367"/>
      <c r="C8" s="367" t="s">
        <v>257</v>
      </c>
      <c r="D8" s="1200"/>
      <c r="E8" s="369" t="s">
        <v>258</v>
      </c>
      <c r="F8" s="369" t="s">
        <v>259</v>
      </c>
      <c r="G8" s="369" t="s">
        <v>260</v>
      </c>
      <c r="H8" s="369" t="s">
        <v>261</v>
      </c>
      <c r="I8" s="369" t="s">
        <v>262</v>
      </c>
      <c r="J8" s="369" t="s">
        <v>263</v>
      </c>
      <c r="K8" s="369" t="s">
        <v>264</v>
      </c>
      <c r="L8" s="370" t="s">
        <v>265</v>
      </c>
    </row>
    <row r="9" spans="1:12" ht="30" customHeight="1" thickBot="1">
      <c r="A9" s="371" t="s">
        <v>266</v>
      </c>
      <c r="B9" s="372">
        <v>17495810.310000002</v>
      </c>
      <c r="C9" s="372">
        <v>37308470.499999993</v>
      </c>
      <c r="D9" s="373">
        <v>7689133</v>
      </c>
      <c r="E9" s="373">
        <v>863017.94</v>
      </c>
      <c r="F9" s="373">
        <v>81364111.12000002</v>
      </c>
      <c r="G9" s="373">
        <v>486755556.90999997</v>
      </c>
      <c r="H9" s="373">
        <v>81728209.179999977</v>
      </c>
      <c r="I9" s="373">
        <v>19095</v>
      </c>
      <c r="J9" s="373">
        <v>7018456.0399999991</v>
      </c>
      <c r="K9" s="373">
        <v>169209249.45680001</v>
      </c>
      <c r="L9" s="374">
        <v>889451110.45679998</v>
      </c>
    </row>
    <row r="10" spans="1:12" ht="15.75" thickTop="1">
      <c r="A10" s="366"/>
      <c r="B10" s="367"/>
      <c r="C10" s="367"/>
      <c r="D10" s="367"/>
      <c r="E10" s="367"/>
      <c r="F10" s="367"/>
      <c r="G10" s="367"/>
      <c r="H10" s="367"/>
      <c r="I10" s="367"/>
      <c r="J10" s="367"/>
      <c r="K10" s="367"/>
      <c r="L10" s="402"/>
    </row>
    <row r="11" spans="1:12" ht="15">
      <c r="A11" s="366" t="s">
        <v>59</v>
      </c>
      <c r="B11" s="375">
        <v>0</v>
      </c>
      <c r="C11" s="375">
        <v>0</v>
      </c>
      <c r="D11" s="376">
        <v>0</v>
      </c>
      <c r="E11" s="377">
        <v>0</v>
      </c>
      <c r="F11" s="377">
        <v>0</v>
      </c>
      <c r="G11" s="377">
        <v>0</v>
      </c>
      <c r="H11" s="378">
        <v>442419.6</v>
      </c>
      <c r="I11" s="379">
        <v>19095</v>
      </c>
      <c r="J11" s="379">
        <v>4861288.5599999996</v>
      </c>
      <c r="K11" s="377">
        <v>0</v>
      </c>
      <c r="L11" s="403">
        <v>5322803.1600000011</v>
      </c>
    </row>
    <row r="12" spans="1:12" ht="15" customHeight="1">
      <c r="A12" s="380" t="s">
        <v>82</v>
      </c>
      <c r="B12" s="381">
        <v>0</v>
      </c>
      <c r="C12" s="382">
        <v>0</v>
      </c>
      <c r="D12" s="383">
        <v>0</v>
      </c>
      <c r="E12" s="383">
        <v>0</v>
      </c>
      <c r="F12" s="382">
        <v>0</v>
      </c>
      <c r="G12" s="382">
        <v>0</v>
      </c>
      <c r="H12" s="384">
        <v>4756.49</v>
      </c>
      <c r="I12" s="384">
        <v>13995</v>
      </c>
      <c r="J12" s="384">
        <v>2751117.6</v>
      </c>
      <c r="K12" s="381">
        <v>0</v>
      </c>
      <c r="L12" s="390">
        <v>2769869.0900000003</v>
      </c>
    </row>
    <row r="13" spans="1:12" ht="15" customHeight="1">
      <c r="A13" s="385" t="s">
        <v>83</v>
      </c>
      <c r="B13" s="377">
        <v>0</v>
      </c>
      <c r="C13" s="377">
        <v>0</v>
      </c>
      <c r="D13" s="377">
        <v>0</v>
      </c>
      <c r="E13" s="377">
        <v>0</v>
      </c>
      <c r="F13" s="377">
        <v>0</v>
      </c>
      <c r="G13" s="377">
        <v>0</v>
      </c>
      <c r="H13" s="375">
        <v>53209.05</v>
      </c>
      <c r="I13" s="375">
        <v>5100</v>
      </c>
      <c r="J13" s="375">
        <v>2001035.36</v>
      </c>
      <c r="K13" s="377">
        <v>0</v>
      </c>
      <c r="L13" s="387">
        <v>2059344.4100000001</v>
      </c>
    </row>
    <row r="14" spans="1:12" ht="15" customHeight="1">
      <c r="A14" s="385" t="s">
        <v>84</v>
      </c>
      <c r="B14" s="377">
        <v>0</v>
      </c>
      <c r="C14" s="377">
        <v>0</v>
      </c>
      <c r="D14" s="375">
        <v>0</v>
      </c>
      <c r="E14" s="375">
        <v>0</v>
      </c>
      <c r="F14" s="377">
        <v>0</v>
      </c>
      <c r="G14" s="377">
        <v>0</v>
      </c>
      <c r="H14" s="375">
        <v>277017.14</v>
      </c>
      <c r="I14" s="377">
        <v>0</v>
      </c>
      <c r="J14" s="375">
        <v>84728.72</v>
      </c>
      <c r="K14" s="377">
        <v>0</v>
      </c>
      <c r="L14" s="387">
        <v>361745.86</v>
      </c>
    </row>
    <row r="15" spans="1:12" ht="15" customHeight="1">
      <c r="A15" s="385" t="s">
        <v>85</v>
      </c>
      <c r="B15" s="377">
        <v>0</v>
      </c>
      <c r="C15" s="377">
        <v>0</v>
      </c>
      <c r="D15" s="375">
        <v>0</v>
      </c>
      <c r="E15" s="375">
        <v>0</v>
      </c>
      <c r="F15" s="377">
        <v>0</v>
      </c>
      <c r="G15" s="377">
        <v>0</v>
      </c>
      <c r="H15" s="375">
        <v>76020.2</v>
      </c>
      <c r="I15" s="377">
        <v>0</v>
      </c>
      <c r="J15" s="375">
        <v>8904</v>
      </c>
      <c r="K15" s="377">
        <v>0</v>
      </c>
      <c r="L15" s="387">
        <v>84924.2</v>
      </c>
    </row>
    <row r="16" spans="1:12" ht="15" customHeight="1">
      <c r="A16" s="385" t="s">
        <v>86</v>
      </c>
      <c r="B16" s="377">
        <v>0</v>
      </c>
      <c r="C16" s="377">
        <v>0</v>
      </c>
      <c r="D16" s="375">
        <v>0</v>
      </c>
      <c r="E16" s="375">
        <v>0</v>
      </c>
      <c r="F16" s="377">
        <v>0</v>
      </c>
      <c r="G16" s="377">
        <v>0</v>
      </c>
      <c r="H16" s="375">
        <v>3216.44</v>
      </c>
      <c r="I16" s="377">
        <v>0</v>
      </c>
      <c r="J16" s="375">
        <v>0</v>
      </c>
      <c r="K16" s="377">
        <v>0</v>
      </c>
      <c r="L16" s="387">
        <v>3216.44</v>
      </c>
    </row>
    <row r="17" spans="1:12" ht="15" customHeight="1">
      <c r="A17" s="385" t="s">
        <v>87</v>
      </c>
      <c r="B17" s="377">
        <v>0</v>
      </c>
      <c r="C17" s="377">
        <v>0</v>
      </c>
      <c r="D17" s="375">
        <v>0</v>
      </c>
      <c r="E17" s="375">
        <v>0</v>
      </c>
      <c r="F17" s="377">
        <v>0</v>
      </c>
      <c r="G17" s="377">
        <v>0</v>
      </c>
      <c r="H17" s="375">
        <v>28200.28</v>
      </c>
      <c r="I17" s="377">
        <v>0</v>
      </c>
      <c r="J17" s="375">
        <v>15502.88</v>
      </c>
      <c r="K17" s="377">
        <v>0</v>
      </c>
      <c r="L17" s="387">
        <v>43703.159999999996</v>
      </c>
    </row>
    <row r="18" spans="1:12" ht="15" customHeight="1">
      <c r="A18" s="366"/>
      <c r="B18" s="386"/>
      <c r="C18" s="386"/>
      <c r="D18" s="386"/>
      <c r="E18" s="386"/>
      <c r="F18" s="386"/>
      <c r="G18" s="386"/>
      <c r="H18" s="387"/>
      <c r="I18" s="387"/>
      <c r="J18" s="387"/>
      <c r="K18" s="386"/>
      <c r="L18" s="387"/>
    </row>
    <row r="19" spans="1:12" ht="15" customHeight="1">
      <c r="A19" s="366" t="s">
        <v>60</v>
      </c>
      <c r="B19" s="388">
        <v>18749.88</v>
      </c>
      <c r="C19" s="388">
        <v>36148382.399999991</v>
      </c>
      <c r="D19" s="388">
        <v>7689133</v>
      </c>
      <c r="E19" s="389">
        <v>0</v>
      </c>
      <c r="F19" s="389">
        <v>0</v>
      </c>
      <c r="G19" s="388">
        <v>486755556.90999997</v>
      </c>
      <c r="H19" s="388">
        <v>81223596.61999999</v>
      </c>
      <c r="I19" s="389">
        <v>0</v>
      </c>
      <c r="J19" s="388">
        <v>669119.98</v>
      </c>
      <c r="K19" s="388">
        <v>169209249.45680001</v>
      </c>
      <c r="L19" s="388">
        <v>781713788.24680007</v>
      </c>
    </row>
    <row r="20" spans="1:12" ht="15" customHeight="1">
      <c r="A20" s="380" t="s">
        <v>88</v>
      </c>
      <c r="B20" s="382">
        <v>0</v>
      </c>
      <c r="C20" s="382">
        <v>17381559.879999999</v>
      </c>
      <c r="D20" s="382">
        <v>6606646</v>
      </c>
      <c r="E20" s="377">
        <v>0</v>
      </c>
      <c r="F20" s="382">
        <v>0</v>
      </c>
      <c r="G20" s="382">
        <v>0</v>
      </c>
      <c r="H20" s="382">
        <v>40952958.539999999</v>
      </c>
      <c r="I20" s="382">
        <v>0</v>
      </c>
      <c r="J20" s="382">
        <v>596896.62</v>
      </c>
      <c r="K20" s="390">
        <v>138434940.76680002</v>
      </c>
      <c r="L20" s="390">
        <v>203973001.80680001</v>
      </c>
    </row>
    <row r="21" spans="1:12" ht="15" customHeight="1">
      <c r="A21" s="385" t="s">
        <v>89</v>
      </c>
      <c r="B21" s="375">
        <v>0</v>
      </c>
      <c r="C21" s="375">
        <v>0</v>
      </c>
      <c r="D21" s="377">
        <v>1053166</v>
      </c>
      <c r="E21" s="377">
        <v>0</v>
      </c>
      <c r="F21" s="375">
        <v>0</v>
      </c>
      <c r="G21" s="375">
        <v>336374855.62</v>
      </c>
      <c r="H21" s="375">
        <v>18256396.359999999</v>
      </c>
      <c r="I21" s="377">
        <v>0</v>
      </c>
      <c r="J21" s="375">
        <v>15056.44</v>
      </c>
      <c r="K21" s="387">
        <v>15797939.4</v>
      </c>
      <c r="L21" s="387">
        <v>371497413.81999999</v>
      </c>
    </row>
    <row r="22" spans="1:12" ht="15" customHeight="1">
      <c r="A22" s="385" t="s">
        <v>85</v>
      </c>
      <c r="B22" s="375">
        <v>0</v>
      </c>
      <c r="C22" s="375">
        <v>15959070.58</v>
      </c>
      <c r="D22" s="377">
        <v>0</v>
      </c>
      <c r="E22" s="377">
        <v>0</v>
      </c>
      <c r="F22" s="375">
        <v>0</v>
      </c>
      <c r="G22" s="375">
        <v>108196903.31</v>
      </c>
      <c r="H22" s="375">
        <v>13001687.76</v>
      </c>
      <c r="I22" s="377">
        <v>0</v>
      </c>
      <c r="J22" s="375">
        <v>5226.6000000000004</v>
      </c>
      <c r="K22" s="387">
        <v>3538278.53</v>
      </c>
      <c r="L22" s="387">
        <v>140701166.78</v>
      </c>
    </row>
    <row r="23" spans="1:12" ht="15" customHeight="1">
      <c r="A23" s="385" t="s">
        <v>90</v>
      </c>
      <c r="B23" s="375">
        <v>0</v>
      </c>
      <c r="C23" s="375">
        <v>2513214.94</v>
      </c>
      <c r="D23" s="377">
        <v>0</v>
      </c>
      <c r="E23" s="377">
        <v>0</v>
      </c>
      <c r="F23" s="375">
        <v>0</v>
      </c>
      <c r="G23" s="375">
        <v>0</v>
      </c>
      <c r="H23" s="375">
        <v>313863</v>
      </c>
      <c r="I23" s="377">
        <v>0</v>
      </c>
      <c r="J23" s="375">
        <v>0</v>
      </c>
      <c r="K23" s="387">
        <v>400621.3</v>
      </c>
      <c r="L23" s="387">
        <v>3227699.2399999998</v>
      </c>
    </row>
    <row r="24" spans="1:12" ht="15" customHeight="1">
      <c r="A24" s="385" t="s">
        <v>91</v>
      </c>
      <c r="B24" s="375">
        <v>0</v>
      </c>
      <c r="C24" s="375">
        <v>46836.12</v>
      </c>
      <c r="D24" s="377">
        <v>0</v>
      </c>
      <c r="E24" s="377">
        <v>0</v>
      </c>
      <c r="F24" s="375">
        <v>0</v>
      </c>
      <c r="G24" s="375">
        <v>26131517.559999999</v>
      </c>
      <c r="H24" s="375">
        <v>714349.28</v>
      </c>
      <c r="I24" s="377">
        <v>0</v>
      </c>
      <c r="J24" s="375">
        <v>0</v>
      </c>
      <c r="K24" s="387">
        <v>1556750.79</v>
      </c>
      <c r="L24" s="387">
        <v>28449453.75</v>
      </c>
    </row>
    <row r="25" spans="1:12" ht="15" customHeight="1">
      <c r="A25" s="385" t="s">
        <v>131</v>
      </c>
      <c r="B25" s="387">
        <v>18749.88</v>
      </c>
      <c r="C25" s="387">
        <v>138745.16</v>
      </c>
      <c r="D25" s="386">
        <v>29321</v>
      </c>
      <c r="E25" s="377">
        <v>0</v>
      </c>
      <c r="F25" s="375">
        <v>0</v>
      </c>
      <c r="G25" s="375">
        <v>0</v>
      </c>
      <c r="H25" s="375">
        <v>6817555.5199999996</v>
      </c>
      <c r="I25" s="377">
        <v>0</v>
      </c>
      <c r="J25" s="375">
        <v>47649.86</v>
      </c>
      <c r="K25" s="387">
        <v>9300519.4199999999</v>
      </c>
      <c r="L25" s="387">
        <v>16352540.84</v>
      </c>
    </row>
    <row r="26" spans="1:12" ht="15" customHeight="1">
      <c r="A26" s="385" t="s">
        <v>132</v>
      </c>
      <c r="B26" s="375">
        <v>0</v>
      </c>
      <c r="C26" s="375">
        <v>0</v>
      </c>
      <c r="D26" s="377">
        <v>0</v>
      </c>
      <c r="E26" s="377">
        <v>0</v>
      </c>
      <c r="F26" s="375">
        <v>0</v>
      </c>
      <c r="G26" s="375">
        <v>11274220.779999999</v>
      </c>
      <c r="H26" s="375">
        <v>215570.12</v>
      </c>
      <c r="I26" s="377">
        <v>0</v>
      </c>
      <c r="J26" s="375">
        <v>2465.66</v>
      </c>
      <c r="K26" s="387">
        <v>153999.60999999999</v>
      </c>
      <c r="L26" s="387">
        <v>11646256.169999998</v>
      </c>
    </row>
    <row r="27" spans="1:12" ht="15" customHeight="1">
      <c r="A27" s="385" t="s">
        <v>133</v>
      </c>
      <c r="B27" s="375">
        <v>0</v>
      </c>
      <c r="C27" s="375">
        <v>108955.72</v>
      </c>
      <c r="D27" s="377">
        <v>0</v>
      </c>
      <c r="E27" s="377">
        <v>0</v>
      </c>
      <c r="F27" s="375">
        <v>0</v>
      </c>
      <c r="G27" s="375">
        <v>4341958.5599999996</v>
      </c>
      <c r="H27" s="375">
        <v>950407.72</v>
      </c>
      <c r="I27" s="377">
        <v>0</v>
      </c>
      <c r="J27" s="375">
        <v>1824.8</v>
      </c>
      <c r="K27" s="387">
        <v>26199.64</v>
      </c>
      <c r="L27" s="387">
        <v>5429346.4399999985</v>
      </c>
    </row>
    <row r="28" spans="1:12" ht="15" customHeight="1">
      <c r="A28" s="385" t="s">
        <v>134</v>
      </c>
      <c r="B28" s="375">
        <v>0</v>
      </c>
      <c r="C28" s="375">
        <v>0</v>
      </c>
      <c r="D28" s="377">
        <v>0</v>
      </c>
      <c r="E28" s="377">
        <v>0</v>
      </c>
      <c r="F28" s="375">
        <v>0</v>
      </c>
      <c r="G28" s="375">
        <v>436101.08</v>
      </c>
      <c r="H28" s="375">
        <v>808.32</v>
      </c>
      <c r="I28" s="377">
        <v>0</v>
      </c>
      <c r="J28" s="375">
        <v>0</v>
      </c>
      <c r="K28" s="377">
        <v>0</v>
      </c>
      <c r="L28" s="387">
        <v>436909.4</v>
      </c>
    </row>
    <row r="29" spans="1:12" ht="15" customHeight="1">
      <c r="A29" s="391"/>
      <c r="B29" s="392"/>
      <c r="C29" s="392"/>
      <c r="D29" s="393"/>
      <c r="E29" s="393"/>
      <c r="F29" s="392"/>
      <c r="G29" s="393"/>
      <c r="H29" s="393"/>
      <c r="I29" s="393"/>
      <c r="J29" s="393"/>
      <c r="K29" s="393"/>
      <c r="L29" s="392"/>
    </row>
    <row r="30" spans="1:12" ht="15" customHeight="1">
      <c r="A30" s="366" t="s">
        <v>62</v>
      </c>
      <c r="B30" s="388">
        <v>17477060.430000003</v>
      </c>
      <c r="C30" s="394">
        <v>1160088.0999999999</v>
      </c>
      <c r="D30" s="394">
        <v>0</v>
      </c>
      <c r="E30" s="395">
        <v>863017.94</v>
      </c>
      <c r="F30" s="388">
        <v>81364111.12000002</v>
      </c>
      <c r="G30" s="394">
        <v>0</v>
      </c>
      <c r="H30" s="394">
        <v>62192.959999999999</v>
      </c>
      <c r="I30" s="394">
        <v>0</v>
      </c>
      <c r="J30" s="394">
        <v>1488047.5000000002</v>
      </c>
      <c r="K30" s="394">
        <v>0</v>
      </c>
      <c r="L30" s="404">
        <v>102414518.05000001</v>
      </c>
    </row>
    <row r="31" spans="1:12" ht="15" customHeight="1">
      <c r="A31" s="380" t="s">
        <v>98</v>
      </c>
      <c r="B31" s="390">
        <v>7862902.1500000004</v>
      </c>
      <c r="C31" s="382">
        <v>0</v>
      </c>
      <c r="D31" s="382">
        <v>0</v>
      </c>
      <c r="E31" s="390">
        <v>70204.3</v>
      </c>
      <c r="F31" s="390">
        <v>7177878.5199999996</v>
      </c>
      <c r="G31" s="382">
        <v>0</v>
      </c>
      <c r="H31" s="382">
        <v>0</v>
      </c>
      <c r="I31" s="382">
        <v>0</v>
      </c>
      <c r="J31" s="390">
        <v>144093</v>
      </c>
      <c r="K31" s="382">
        <v>0</v>
      </c>
      <c r="L31" s="390">
        <v>15255077.969999999</v>
      </c>
    </row>
    <row r="32" spans="1:12" ht="15" customHeight="1">
      <c r="A32" s="385" t="s">
        <v>101</v>
      </c>
      <c r="B32" s="375">
        <v>108121.8</v>
      </c>
      <c r="C32" s="375">
        <v>0</v>
      </c>
      <c r="D32" s="375">
        <v>0</v>
      </c>
      <c r="E32" s="375">
        <v>0</v>
      </c>
      <c r="F32" s="375">
        <v>24782947.539999999</v>
      </c>
      <c r="G32" s="375">
        <v>0</v>
      </c>
      <c r="H32" s="375">
        <v>28675.360000000001</v>
      </c>
      <c r="I32" s="375">
        <v>0</v>
      </c>
      <c r="J32" s="375">
        <v>220498.64</v>
      </c>
      <c r="K32" s="375">
        <v>0</v>
      </c>
      <c r="L32" s="387">
        <v>25140243.34</v>
      </c>
    </row>
    <row r="33" spans="1:12" ht="15" customHeight="1">
      <c r="A33" s="385" t="s">
        <v>100</v>
      </c>
      <c r="B33" s="375">
        <v>40962.15</v>
      </c>
      <c r="C33" s="375">
        <v>0</v>
      </c>
      <c r="D33" s="375">
        <v>0</v>
      </c>
      <c r="E33" s="375">
        <v>41192.699999999997</v>
      </c>
      <c r="F33" s="375">
        <v>0</v>
      </c>
      <c r="G33" s="375">
        <v>0</v>
      </c>
      <c r="H33" s="375">
        <v>23300</v>
      </c>
      <c r="I33" s="375">
        <v>0</v>
      </c>
      <c r="J33" s="375">
        <v>9738.4</v>
      </c>
      <c r="K33" s="375">
        <v>0</v>
      </c>
      <c r="L33" s="387">
        <v>115193.25</v>
      </c>
    </row>
    <row r="34" spans="1:12" ht="15" customHeight="1">
      <c r="A34" s="385" t="s">
        <v>114</v>
      </c>
      <c r="B34" s="375">
        <v>0</v>
      </c>
      <c r="C34" s="375">
        <v>82913.399999999994</v>
      </c>
      <c r="D34" s="375">
        <v>0</v>
      </c>
      <c r="E34" s="375"/>
      <c r="F34" s="375">
        <v>15837656.5</v>
      </c>
      <c r="G34" s="375">
        <v>0</v>
      </c>
      <c r="H34" s="375">
        <v>3952.6</v>
      </c>
      <c r="I34" s="375">
        <v>0</v>
      </c>
      <c r="J34" s="375">
        <v>18159.98</v>
      </c>
      <c r="K34" s="375">
        <v>0</v>
      </c>
      <c r="L34" s="387">
        <v>15942682.48</v>
      </c>
    </row>
    <row r="35" spans="1:12" ht="15" customHeight="1">
      <c r="A35" s="385" t="s">
        <v>103</v>
      </c>
      <c r="B35" s="375">
        <v>2313671.59</v>
      </c>
      <c r="C35" s="375">
        <v>0</v>
      </c>
      <c r="D35" s="375">
        <v>0</v>
      </c>
      <c r="E35" s="375">
        <v>554015.9</v>
      </c>
      <c r="F35" s="375">
        <v>467139.46</v>
      </c>
      <c r="G35" s="375">
        <v>0</v>
      </c>
      <c r="H35" s="375">
        <v>0</v>
      </c>
      <c r="I35" s="375">
        <v>0</v>
      </c>
      <c r="J35" s="375">
        <v>347321.82</v>
      </c>
      <c r="K35" s="375">
        <v>0</v>
      </c>
      <c r="L35" s="387">
        <v>3682148.7699999996</v>
      </c>
    </row>
    <row r="36" spans="1:12" ht="15" customHeight="1">
      <c r="A36" s="396" t="s">
        <v>135</v>
      </c>
      <c r="B36" s="375">
        <v>5167897.16</v>
      </c>
      <c r="C36" s="375">
        <v>1077174.7</v>
      </c>
      <c r="D36" s="375">
        <v>0</v>
      </c>
      <c r="E36" s="375">
        <v>1868.98</v>
      </c>
      <c r="F36" s="375">
        <v>17287407.920000002</v>
      </c>
      <c r="G36" s="375">
        <v>0</v>
      </c>
      <c r="H36" s="375">
        <v>2179</v>
      </c>
      <c r="I36" s="375">
        <v>0</v>
      </c>
      <c r="J36" s="375">
        <v>74696.039999999994</v>
      </c>
      <c r="K36" s="375">
        <v>0</v>
      </c>
      <c r="L36" s="387">
        <v>23611223.800000001</v>
      </c>
    </row>
    <row r="37" spans="1:12" ht="15" customHeight="1">
      <c r="A37" s="385" t="s">
        <v>108</v>
      </c>
      <c r="B37" s="375">
        <v>33417.32</v>
      </c>
      <c r="C37" s="375">
        <v>0</v>
      </c>
      <c r="D37" s="397">
        <v>0</v>
      </c>
      <c r="E37" s="375">
        <v>13312.22</v>
      </c>
      <c r="F37" s="375">
        <v>2745671.78</v>
      </c>
      <c r="G37" s="397">
        <v>0</v>
      </c>
      <c r="H37" s="375">
        <v>0</v>
      </c>
      <c r="I37" s="397">
        <v>0</v>
      </c>
      <c r="J37" s="375">
        <v>15652.68</v>
      </c>
      <c r="K37" s="375">
        <v>0</v>
      </c>
      <c r="L37" s="387">
        <v>2808054</v>
      </c>
    </row>
    <row r="38" spans="1:12" ht="15" customHeight="1">
      <c r="A38" s="385" t="s">
        <v>104</v>
      </c>
      <c r="B38" s="375">
        <v>1950088.26</v>
      </c>
      <c r="C38" s="375">
        <v>0</v>
      </c>
      <c r="D38" s="397">
        <v>0</v>
      </c>
      <c r="E38" s="375">
        <v>165199.84</v>
      </c>
      <c r="F38" s="375">
        <v>6502104.9000000004</v>
      </c>
      <c r="G38" s="397">
        <v>0</v>
      </c>
      <c r="H38" s="375">
        <v>0</v>
      </c>
      <c r="I38" s="397">
        <v>0</v>
      </c>
      <c r="J38" s="375">
        <v>630413.46000000008</v>
      </c>
      <c r="K38" s="375">
        <v>0</v>
      </c>
      <c r="L38" s="387">
        <v>9247806.4600000009</v>
      </c>
    </row>
    <row r="39" spans="1:12" ht="15" customHeight="1">
      <c r="A39" s="385" t="s">
        <v>86</v>
      </c>
      <c r="B39" s="377">
        <v>0</v>
      </c>
      <c r="C39" s="375">
        <v>0</v>
      </c>
      <c r="D39" s="397">
        <v>0</v>
      </c>
      <c r="E39" s="375">
        <v>0</v>
      </c>
      <c r="F39" s="375">
        <v>0</v>
      </c>
      <c r="G39" s="397">
        <v>0</v>
      </c>
      <c r="H39" s="375">
        <v>4086</v>
      </c>
      <c r="I39" s="397">
        <v>0</v>
      </c>
      <c r="J39" s="377">
        <v>0</v>
      </c>
      <c r="K39" s="375">
        <v>0</v>
      </c>
      <c r="L39" s="387">
        <v>4086</v>
      </c>
    </row>
    <row r="40" spans="1:12" ht="15" customHeight="1">
      <c r="A40" s="396" t="s">
        <v>110</v>
      </c>
      <c r="B40" s="377">
        <v>0</v>
      </c>
      <c r="C40" s="375">
        <v>0</v>
      </c>
      <c r="D40" s="397">
        <v>0</v>
      </c>
      <c r="E40" s="375">
        <v>0</v>
      </c>
      <c r="F40" s="375">
        <v>4813458.68</v>
      </c>
      <c r="G40" s="397">
        <v>0</v>
      </c>
      <c r="H40" s="375">
        <v>0</v>
      </c>
      <c r="I40" s="397">
        <v>0</v>
      </c>
      <c r="J40" s="377">
        <v>8157.5</v>
      </c>
      <c r="K40" s="375">
        <v>0</v>
      </c>
      <c r="L40" s="387">
        <v>4821616.18</v>
      </c>
    </row>
    <row r="41" spans="1:12" ht="15" customHeight="1">
      <c r="A41" s="385" t="s">
        <v>111</v>
      </c>
      <c r="B41" s="377">
        <v>0</v>
      </c>
      <c r="C41" s="375">
        <v>0</v>
      </c>
      <c r="D41" s="397">
        <v>0</v>
      </c>
      <c r="E41" s="375">
        <v>17224</v>
      </c>
      <c r="F41" s="375">
        <v>1374061.42</v>
      </c>
      <c r="G41" s="397">
        <v>0</v>
      </c>
      <c r="H41" s="375">
        <v>0</v>
      </c>
      <c r="I41" s="397">
        <v>0</v>
      </c>
      <c r="J41" s="377">
        <v>19315.98</v>
      </c>
      <c r="K41" s="375">
        <v>0</v>
      </c>
      <c r="L41" s="387">
        <v>1410601.4</v>
      </c>
    </row>
    <row r="42" spans="1:12" ht="15" customHeight="1">
      <c r="A42" s="398" t="s">
        <v>112</v>
      </c>
      <c r="B42" s="377">
        <v>0</v>
      </c>
      <c r="C42" s="375">
        <v>0</v>
      </c>
      <c r="D42" s="397">
        <v>0</v>
      </c>
      <c r="E42" s="375">
        <v>0</v>
      </c>
      <c r="F42" s="375">
        <v>375784.4</v>
      </c>
      <c r="G42" s="397">
        <v>0</v>
      </c>
      <c r="H42" s="375">
        <v>0</v>
      </c>
      <c r="I42" s="397">
        <v>0</v>
      </c>
      <c r="J42" s="377">
        <v>0</v>
      </c>
      <c r="K42" s="375">
        <v>0</v>
      </c>
      <c r="L42" s="387">
        <v>375784.4</v>
      </c>
    </row>
    <row r="43" spans="1:12" ht="15" customHeight="1">
      <c r="A43" s="399" t="s">
        <v>87</v>
      </c>
      <c r="B43" s="375">
        <v>0</v>
      </c>
      <c r="C43" s="389">
        <v>0</v>
      </c>
      <c r="D43" s="400">
        <v>0</v>
      </c>
      <c r="E43" s="375">
        <v>0</v>
      </c>
      <c r="F43" s="375">
        <v>0</v>
      </c>
      <c r="G43" s="400">
        <v>0</v>
      </c>
      <c r="H43" s="375">
        <v>0</v>
      </c>
      <c r="I43" s="400">
        <v>0</v>
      </c>
      <c r="J43" s="375">
        <v>0</v>
      </c>
      <c r="K43" s="389">
        <v>0</v>
      </c>
      <c r="L43" s="389">
        <v>0</v>
      </c>
    </row>
    <row r="44" spans="1:12" ht="15" customHeight="1">
      <c r="A44" s="1201"/>
      <c r="B44" s="401"/>
      <c r="C44" s="401"/>
      <c r="D44" s="401"/>
      <c r="E44" s="401"/>
      <c r="F44" s="401"/>
      <c r="G44" s="401"/>
      <c r="H44" s="401"/>
      <c r="I44" s="401"/>
      <c r="J44" s="401"/>
      <c r="K44" s="401"/>
      <c r="L44" s="401"/>
    </row>
  </sheetData>
  <mergeCells count="6">
    <mergeCell ref="A1:L1"/>
    <mergeCell ref="A2:L2"/>
    <mergeCell ref="B5:L5"/>
    <mergeCell ref="B6:C6"/>
    <mergeCell ref="D6:D8"/>
    <mergeCell ref="A3:L3"/>
  </mergeCells>
  <pageMargins left="0.7" right="0.7" top="0.75" bottom="0.75" header="0.3" footer="0.3"/>
  <pageSetup orientation="portrait" horizontalDpi="4294967295" verticalDpi="4294967295"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G36"/>
  <sheetViews>
    <sheetView showGridLines="0" workbookViewId="0">
      <selection sqref="A1:G1"/>
    </sheetView>
  </sheetViews>
  <sheetFormatPr defaultColWidth="9.7109375" defaultRowHeight="12.75"/>
  <cols>
    <col min="1" max="1" width="19.7109375" style="208" customWidth="1"/>
    <col min="2" max="7" width="11.7109375" style="208" customWidth="1"/>
    <col min="8" max="16384" width="9.7109375" style="208"/>
  </cols>
  <sheetData>
    <row r="1" spans="1:7" ht="14.45" customHeight="1">
      <c r="A1" s="1008" t="s">
        <v>270</v>
      </c>
      <c r="B1" s="1008"/>
      <c r="C1" s="1008"/>
      <c r="D1" s="1008"/>
      <c r="E1" s="1008"/>
      <c r="F1" s="1008"/>
      <c r="G1" s="1008"/>
    </row>
    <row r="2" spans="1:7" ht="14.45" customHeight="1">
      <c r="A2" s="1008" t="s">
        <v>271</v>
      </c>
      <c r="B2" s="1008"/>
      <c r="C2" s="1008"/>
      <c r="D2" s="1008"/>
      <c r="E2" s="1008"/>
      <c r="F2" s="1008"/>
      <c r="G2" s="1008"/>
    </row>
    <row r="3" spans="1:7" ht="14.45" customHeight="1">
      <c r="A3" s="1008" t="s">
        <v>69</v>
      </c>
      <c r="B3" s="1008"/>
      <c r="C3" s="1008"/>
      <c r="D3" s="1008"/>
      <c r="E3" s="1008"/>
      <c r="F3" s="1008"/>
      <c r="G3" s="1008"/>
    </row>
    <row r="4" spans="1:7" ht="14.45" customHeight="1">
      <c r="A4" s="1202" t="s">
        <v>272</v>
      </c>
      <c r="B4" s="1202"/>
      <c r="C4" s="1202"/>
      <c r="D4" s="1202"/>
      <c r="E4" s="1202"/>
      <c r="F4" s="1202"/>
      <c r="G4" s="1202"/>
    </row>
    <row r="5" spans="1:7" ht="13.9" customHeight="1">
      <c r="A5" s="209"/>
      <c r="B5" s="209"/>
      <c r="C5" s="209"/>
      <c r="D5" s="209"/>
      <c r="E5" s="209"/>
      <c r="F5" s="209"/>
      <c r="G5" s="209"/>
    </row>
    <row r="6" spans="1:7" ht="13.9" customHeight="1">
      <c r="A6" s="1203"/>
      <c r="B6" s="1204" t="s">
        <v>33</v>
      </c>
      <c r="C6" s="1205" t="s">
        <v>42</v>
      </c>
      <c r="D6" s="1204" t="s">
        <v>43</v>
      </c>
      <c r="E6" s="1205" t="s">
        <v>44</v>
      </c>
      <c r="F6" s="1204" t="s">
        <v>45</v>
      </c>
      <c r="G6" s="1206" t="s">
        <v>273</v>
      </c>
    </row>
    <row r="7" spans="1:7" ht="13.9" customHeight="1">
      <c r="A7" s="1207"/>
      <c r="B7" s="1208"/>
      <c r="C7" s="209"/>
      <c r="D7" s="1208"/>
      <c r="E7" s="209"/>
      <c r="F7" s="1208"/>
      <c r="G7" s="408"/>
    </row>
    <row r="8" spans="1:7" ht="13.9" customHeight="1">
      <c r="A8" s="218" t="s">
        <v>274</v>
      </c>
      <c r="B8" s="1208"/>
      <c r="C8" s="209"/>
      <c r="D8" s="1208"/>
      <c r="E8" s="209"/>
      <c r="F8" s="1208"/>
      <c r="G8" s="408"/>
    </row>
    <row r="9" spans="1:7" ht="14.25">
      <c r="A9" s="219" t="s">
        <v>275</v>
      </c>
      <c r="B9" s="1209">
        <v>6873</v>
      </c>
      <c r="C9" s="201">
        <v>2392</v>
      </c>
      <c r="D9" s="1210">
        <v>537</v>
      </c>
      <c r="E9" s="201">
        <v>1599</v>
      </c>
      <c r="F9" s="1209">
        <v>1583</v>
      </c>
      <c r="G9" s="1211">
        <v>762</v>
      </c>
    </row>
    <row r="10" spans="1:7" ht="14.25">
      <c r="A10" s="219" t="s">
        <v>276</v>
      </c>
      <c r="B10" s="1212">
        <v>476921832</v>
      </c>
      <c r="C10" s="1213">
        <v>403364463</v>
      </c>
      <c r="D10" s="1212">
        <v>9754750</v>
      </c>
      <c r="E10" s="1213">
        <v>31287431</v>
      </c>
      <c r="F10" s="1212">
        <v>26249840</v>
      </c>
      <c r="G10" s="1214">
        <v>6265348</v>
      </c>
    </row>
    <row r="11" spans="1:7" ht="14.25">
      <c r="A11" s="219" t="s">
        <v>40</v>
      </c>
      <c r="B11" s="1215">
        <v>140914097494</v>
      </c>
      <c r="C11" s="1216">
        <v>130078189928</v>
      </c>
      <c r="D11" s="1215">
        <v>1407638228</v>
      </c>
      <c r="E11" s="1216">
        <v>4673005532</v>
      </c>
      <c r="F11" s="1215">
        <v>3897977442</v>
      </c>
      <c r="G11" s="410">
        <v>857286364</v>
      </c>
    </row>
    <row r="12" spans="1:7" ht="14.25">
      <c r="A12" s="219" t="s">
        <v>277</v>
      </c>
      <c r="B12" s="1215">
        <v>47715249775</v>
      </c>
      <c r="C12" s="1216">
        <v>44869735116</v>
      </c>
      <c r="D12" s="1215">
        <v>356777013</v>
      </c>
      <c r="E12" s="1216">
        <v>1130044727</v>
      </c>
      <c r="F12" s="1215">
        <v>1138695692</v>
      </c>
      <c r="G12" s="410">
        <v>219997227</v>
      </c>
    </row>
    <row r="13" spans="1:7" ht="14.25">
      <c r="A13" s="219" t="s">
        <v>278</v>
      </c>
      <c r="B13" s="1215">
        <v>9553338172</v>
      </c>
      <c r="C13" s="1216">
        <v>8033240507</v>
      </c>
      <c r="D13" s="1215">
        <v>214857750</v>
      </c>
      <c r="E13" s="1216">
        <v>757756802</v>
      </c>
      <c r="F13" s="1215">
        <v>419826953</v>
      </c>
      <c r="G13" s="410">
        <v>127656160</v>
      </c>
    </row>
    <row r="14" spans="1:7" ht="14.25">
      <c r="A14" s="219"/>
      <c r="B14" s="1217"/>
      <c r="C14" s="1218"/>
      <c r="D14" s="1217"/>
      <c r="E14" s="1218"/>
      <c r="F14" s="1217"/>
      <c r="G14" s="1219"/>
    </row>
    <row r="15" spans="1:7" ht="15">
      <c r="A15" s="218" t="s">
        <v>34</v>
      </c>
      <c r="B15" s="1217"/>
      <c r="C15" s="1218"/>
      <c r="D15" s="1217"/>
      <c r="E15" s="1218"/>
      <c r="F15" s="1217"/>
      <c r="G15" s="1219"/>
    </row>
    <row r="16" spans="1:7" ht="14.25">
      <c r="A16" s="219" t="s">
        <v>275</v>
      </c>
      <c r="B16" s="1209">
        <v>5731</v>
      </c>
      <c r="C16" s="201">
        <v>2123</v>
      </c>
      <c r="D16" s="1210">
        <v>390</v>
      </c>
      <c r="E16" s="201">
        <v>1267</v>
      </c>
      <c r="F16" s="1209">
        <v>1313</v>
      </c>
      <c r="G16" s="1211">
        <v>638</v>
      </c>
    </row>
    <row r="17" spans="1:7" ht="14.25">
      <c r="A17" s="219" t="s">
        <v>276</v>
      </c>
      <c r="B17" s="1212">
        <v>353436841</v>
      </c>
      <c r="C17" s="1213">
        <v>313407691</v>
      </c>
      <c r="D17" s="1212">
        <v>4879285</v>
      </c>
      <c r="E17" s="1213">
        <v>16791036</v>
      </c>
      <c r="F17" s="1212">
        <v>14670099</v>
      </c>
      <c r="G17" s="1214">
        <v>3688730</v>
      </c>
    </row>
    <row r="18" spans="1:7" ht="14.25">
      <c r="A18" s="219" t="s">
        <v>40</v>
      </c>
      <c r="B18" s="1215">
        <v>108441510024</v>
      </c>
      <c r="C18" s="1216">
        <v>102736258390</v>
      </c>
      <c r="D18" s="1215">
        <v>690999828</v>
      </c>
      <c r="E18" s="1216">
        <v>2349032080</v>
      </c>
      <c r="F18" s="1215">
        <v>2220201364</v>
      </c>
      <c r="G18" s="410">
        <v>445018362</v>
      </c>
    </row>
    <row r="19" spans="1:7" ht="14.25">
      <c r="A19" s="219" t="s">
        <v>277</v>
      </c>
      <c r="B19" s="1215">
        <v>43330891733</v>
      </c>
      <c r="C19" s="1216">
        <v>41115713080</v>
      </c>
      <c r="D19" s="1215">
        <v>275570749</v>
      </c>
      <c r="E19" s="1216">
        <v>898473824</v>
      </c>
      <c r="F19" s="1215">
        <v>866610040</v>
      </c>
      <c r="G19" s="410">
        <v>174524040</v>
      </c>
    </row>
    <row r="20" spans="1:7" ht="14.25">
      <c r="A20" s="219" t="s">
        <v>278</v>
      </c>
      <c r="B20" s="1215">
        <v>0</v>
      </c>
      <c r="C20" s="1216">
        <v>0</v>
      </c>
      <c r="D20" s="1215">
        <v>0</v>
      </c>
      <c r="E20" s="1216">
        <v>0</v>
      </c>
      <c r="F20" s="1215">
        <v>0</v>
      </c>
      <c r="G20" s="410">
        <v>0</v>
      </c>
    </row>
    <row r="21" spans="1:7" ht="14.25">
      <c r="A21" s="219"/>
      <c r="B21" s="1217"/>
      <c r="C21" s="1218"/>
      <c r="D21" s="1217"/>
      <c r="E21" s="1218"/>
      <c r="F21" s="1217"/>
      <c r="G21" s="1219"/>
    </row>
    <row r="22" spans="1:7" ht="15">
      <c r="A22" s="218" t="s">
        <v>279</v>
      </c>
      <c r="B22" s="1217"/>
      <c r="C22" s="1218"/>
      <c r="D22" s="1217"/>
      <c r="E22" s="1218"/>
      <c r="F22" s="1217"/>
      <c r="G22" s="1219"/>
    </row>
    <row r="23" spans="1:7" ht="14.25">
      <c r="A23" s="219" t="s">
        <v>275</v>
      </c>
      <c r="B23" s="1210">
        <v>744</v>
      </c>
      <c r="C23" s="1220">
        <v>110</v>
      </c>
      <c r="D23" s="1210">
        <v>96</v>
      </c>
      <c r="E23" s="1220">
        <v>248</v>
      </c>
      <c r="F23" s="1210">
        <v>196</v>
      </c>
      <c r="G23" s="1211">
        <v>94</v>
      </c>
    </row>
    <row r="24" spans="1:7" ht="14.25">
      <c r="A24" s="219" t="s">
        <v>276</v>
      </c>
      <c r="B24" s="1212">
        <v>57224691</v>
      </c>
      <c r="C24" s="1213">
        <v>34804616</v>
      </c>
      <c r="D24" s="1212">
        <v>3517282</v>
      </c>
      <c r="E24" s="1213">
        <v>8417128</v>
      </c>
      <c r="F24" s="1212">
        <v>9177413</v>
      </c>
      <c r="G24" s="1214">
        <v>1308252</v>
      </c>
    </row>
    <row r="25" spans="1:7" ht="14.25">
      <c r="A25" s="219" t="s">
        <v>40</v>
      </c>
      <c r="B25" s="1215">
        <v>14439047226</v>
      </c>
      <c r="C25" s="1216">
        <v>11224041768</v>
      </c>
      <c r="D25" s="1215">
        <v>519445000</v>
      </c>
      <c r="E25" s="1216">
        <v>1166549452</v>
      </c>
      <c r="F25" s="1215">
        <v>1314048006</v>
      </c>
      <c r="G25" s="410">
        <v>214963000</v>
      </c>
    </row>
    <row r="26" spans="1:7" ht="14.25">
      <c r="A26" s="219" t="s">
        <v>277</v>
      </c>
      <c r="B26" s="1215">
        <v>4384358042</v>
      </c>
      <c r="C26" s="1216">
        <v>3754022036</v>
      </c>
      <c r="D26" s="1215">
        <v>81206264</v>
      </c>
      <c r="E26" s="1216">
        <v>231570903</v>
      </c>
      <c r="F26" s="1215">
        <v>272085652</v>
      </c>
      <c r="G26" s="410">
        <v>45473187</v>
      </c>
    </row>
    <row r="27" spans="1:7" ht="14.25">
      <c r="A27" s="219" t="s">
        <v>278</v>
      </c>
      <c r="B27" s="1215">
        <v>1438245062</v>
      </c>
      <c r="C27" s="1216">
        <v>780190110</v>
      </c>
      <c r="D27" s="1215">
        <v>126120720</v>
      </c>
      <c r="E27" s="1216">
        <v>236916002</v>
      </c>
      <c r="F27" s="1215">
        <v>256149321</v>
      </c>
      <c r="G27" s="410">
        <v>38868909</v>
      </c>
    </row>
    <row r="28" spans="1:7" ht="14.25">
      <c r="A28" s="219"/>
      <c r="B28" s="1217"/>
      <c r="C28" s="1218"/>
      <c r="D28" s="1217"/>
      <c r="E28" s="1218"/>
      <c r="F28" s="1217"/>
      <c r="G28" s="1219"/>
    </row>
    <row r="29" spans="1:7" ht="15">
      <c r="A29" s="218" t="s">
        <v>36</v>
      </c>
      <c r="B29" s="1217"/>
      <c r="C29" s="1218"/>
      <c r="D29" s="1217"/>
      <c r="E29" s="1218"/>
      <c r="F29" s="1217"/>
      <c r="G29" s="1219"/>
    </row>
    <row r="30" spans="1:7" ht="14.25">
      <c r="A30" s="219" t="s">
        <v>275</v>
      </c>
      <c r="B30" s="1210">
        <v>398</v>
      </c>
      <c r="C30" s="1220">
        <v>159</v>
      </c>
      <c r="D30" s="1210">
        <v>51</v>
      </c>
      <c r="E30" s="1220">
        <v>84</v>
      </c>
      <c r="F30" s="1210">
        <v>74</v>
      </c>
      <c r="G30" s="1211">
        <v>30</v>
      </c>
    </row>
    <row r="31" spans="1:7" ht="14.25">
      <c r="A31" s="219" t="s">
        <v>276</v>
      </c>
      <c r="B31" s="1212">
        <v>66260300</v>
      </c>
      <c r="C31" s="1213">
        <v>55152156</v>
      </c>
      <c r="D31" s="1212">
        <v>1358183</v>
      </c>
      <c r="E31" s="1213">
        <v>6079267</v>
      </c>
      <c r="F31" s="1212">
        <v>2402328</v>
      </c>
      <c r="G31" s="1214">
        <v>1268366</v>
      </c>
    </row>
    <row r="32" spans="1:7" ht="14.25">
      <c r="A32" s="219" t="s">
        <v>40</v>
      </c>
      <c r="B32" s="1215">
        <v>18033540244</v>
      </c>
      <c r="C32" s="1216">
        <v>16117889770</v>
      </c>
      <c r="D32" s="1215">
        <v>197193400</v>
      </c>
      <c r="E32" s="1216">
        <v>1157424000</v>
      </c>
      <c r="F32" s="1215">
        <v>363728072</v>
      </c>
      <c r="G32" s="410">
        <v>197305002</v>
      </c>
    </row>
    <row r="33" spans="1:7" ht="14.25">
      <c r="A33" s="219" t="s">
        <v>277</v>
      </c>
      <c r="B33" s="1215">
        <v>0</v>
      </c>
      <c r="C33" s="1216">
        <v>0</v>
      </c>
      <c r="D33" s="1215">
        <v>0</v>
      </c>
      <c r="E33" s="1216">
        <v>0</v>
      </c>
      <c r="F33" s="1215">
        <v>0</v>
      </c>
      <c r="G33" s="410">
        <v>0</v>
      </c>
    </row>
    <row r="34" spans="1:7" ht="14.25">
      <c r="A34" s="220" t="s">
        <v>278</v>
      </c>
      <c r="B34" s="1221">
        <v>8115093110</v>
      </c>
      <c r="C34" s="1222">
        <v>7253050397</v>
      </c>
      <c r="D34" s="1221">
        <v>88737030</v>
      </c>
      <c r="E34" s="1222">
        <v>520840800</v>
      </c>
      <c r="F34" s="1221">
        <v>163677632</v>
      </c>
      <c r="G34" s="411">
        <v>88787251</v>
      </c>
    </row>
    <row r="36" spans="1:7">
      <c r="A36" s="208" t="s">
        <v>249</v>
      </c>
    </row>
  </sheetData>
  <mergeCells count="4">
    <mergeCell ref="A1:G1"/>
    <mergeCell ref="A2:G2"/>
    <mergeCell ref="A3:G3"/>
    <mergeCell ref="A4:G4"/>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G48"/>
  <sheetViews>
    <sheetView showGridLines="0" workbookViewId="0">
      <selection sqref="A1:G1"/>
    </sheetView>
  </sheetViews>
  <sheetFormatPr defaultColWidth="9.7109375" defaultRowHeight="12.75"/>
  <cols>
    <col min="1" max="1" width="22.28515625" style="208" customWidth="1"/>
    <col min="2" max="3" width="11.7109375" style="208" customWidth="1"/>
    <col min="4" max="4" width="3.7109375" style="208" customWidth="1"/>
    <col min="5" max="6" width="11.7109375" style="208" customWidth="1"/>
    <col min="7" max="7" width="14.28515625" style="208" bestFit="1" customWidth="1"/>
    <col min="8" max="16384" width="9.7109375" style="208"/>
  </cols>
  <sheetData>
    <row r="1" spans="1:7" ht="15" customHeight="1">
      <c r="A1" s="1008" t="s">
        <v>270</v>
      </c>
      <c r="B1" s="1223"/>
      <c r="C1" s="1223"/>
      <c r="D1" s="1223"/>
      <c r="E1" s="1223"/>
      <c r="F1" s="1223"/>
      <c r="G1" s="1223"/>
    </row>
    <row r="2" spans="1:7" ht="15" customHeight="1">
      <c r="A2" s="1008" t="s">
        <v>291</v>
      </c>
      <c r="B2" s="1223"/>
      <c r="C2" s="1223"/>
      <c r="D2" s="1223"/>
      <c r="E2" s="1223"/>
      <c r="F2" s="1223"/>
      <c r="G2" s="1223"/>
    </row>
    <row r="3" spans="1:7" ht="15" customHeight="1">
      <c r="A3" s="1008" t="s">
        <v>69</v>
      </c>
      <c r="B3" s="1223"/>
      <c r="C3" s="1223"/>
      <c r="D3" s="1223"/>
      <c r="E3" s="1223"/>
      <c r="F3" s="1223"/>
      <c r="G3" s="1223"/>
    </row>
    <row r="4" spans="1:7" ht="15" customHeight="1">
      <c r="A4" s="1224" t="s">
        <v>272</v>
      </c>
      <c r="B4" s="1026"/>
      <c r="C4" s="1026"/>
      <c r="D4" s="1026"/>
      <c r="E4" s="1026"/>
      <c r="F4" s="1026"/>
      <c r="G4" s="1026"/>
    </row>
    <row r="5" spans="1:7" ht="15" customHeight="1">
      <c r="A5" s="212"/>
      <c r="B5" s="212"/>
      <c r="C5" s="212"/>
      <c r="D5" s="212"/>
      <c r="E5" s="212"/>
      <c r="F5" s="212"/>
      <c r="G5" s="212"/>
    </row>
    <row r="6" spans="1:7" ht="15" customHeight="1">
      <c r="A6" s="1225"/>
      <c r="B6" s="1226" t="s">
        <v>73</v>
      </c>
      <c r="C6" s="1226" t="s">
        <v>280</v>
      </c>
      <c r="D6" s="406"/>
      <c r="E6" s="1226" t="s">
        <v>281</v>
      </c>
      <c r="F6" s="1226" t="s">
        <v>277</v>
      </c>
      <c r="G6" s="406" t="s">
        <v>282</v>
      </c>
    </row>
    <row r="7" spans="1:7" ht="15" customHeight="1">
      <c r="A7" s="181"/>
      <c r="B7" s="1227"/>
      <c r="C7" s="1228" t="s">
        <v>283</v>
      </c>
      <c r="D7" s="407"/>
      <c r="E7" s="1229" t="s">
        <v>145</v>
      </c>
      <c r="F7" s="1227"/>
      <c r="G7" s="407"/>
    </row>
    <row r="8" spans="1:7" ht="15" customHeight="1">
      <c r="A8" s="1208"/>
      <c r="B8" s="209"/>
      <c r="C8" s="209"/>
      <c r="D8" s="408"/>
      <c r="E8" s="209"/>
      <c r="F8" s="209"/>
      <c r="G8" s="408"/>
    </row>
    <row r="9" spans="1:7" ht="15" customHeight="1">
      <c r="A9" s="190" t="s">
        <v>119</v>
      </c>
      <c r="B9" s="209"/>
      <c r="C9" s="209"/>
      <c r="D9" s="408"/>
      <c r="E9" s="209"/>
      <c r="F9" s="209"/>
      <c r="G9" s="408"/>
    </row>
    <row r="10" spans="1:7" ht="15" customHeight="1">
      <c r="A10" s="197"/>
      <c r="B10" s="209"/>
      <c r="C10" s="209"/>
      <c r="D10" s="408"/>
      <c r="E10" s="209"/>
      <c r="F10" s="209"/>
      <c r="G10" s="408"/>
    </row>
    <row r="11" spans="1:7" ht="15" customHeight="1">
      <c r="A11" s="190" t="s">
        <v>284</v>
      </c>
      <c r="B11" s="1230">
        <v>87</v>
      </c>
      <c r="C11" s="1231">
        <v>58682202</v>
      </c>
      <c r="D11" s="409"/>
      <c r="E11" s="1232">
        <v>13638707109</v>
      </c>
      <c r="F11" s="1232">
        <v>2822117949</v>
      </c>
      <c r="G11" s="409">
        <v>3014750229</v>
      </c>
    </row>
    <row r="12" spans="1:7" ht="15" customHeight="1">
      <c r="A12" s="197" t="s">
        <v>34</v>
      </c>
      <c r="B12" s="1220">
        <v>68</v>
      </c>
      <c r="C12" s="1213">
        <v>29146602</v>
      </c>
      <c r="D12" s="410"/>
      <c r="E12" s="1216">
        <v>5881253443</v>
      </c>
      <c r="F12" s="1216">
        <v>2398344218</v>
      </c>
      <c r="G12" s="410">
        <v>0</v>
      </c>
    </row>
    <row r="13" spans="1:7" ht="15" customHeight="1">
      <c r="A13" s="197" t="s">
        <v>279</v>
      </c>
      <c r="B13" s="1220">
        <v>8</v>
      </c>
      <c r="C13" s="1213">
        <v>5538230</v>
      </c>
      <c r="D13" s="410"/>
      <c r="E13" s="1216">
        <v>1192758666</v>
      </c>
      <c r="F13" s="1216">
        <v>423773731</v>
      </c>
      <c r="G13" s="410">
        <v>60637479</v>
      </c>
    </row>
    <row r="14" spans="1:7" ht="15" customHeight="1">
      <c r="A14" s="197" t="s">
        <v>36</v>
      </c>
      <c r="B14" s="1220">
        <v>11</v>
      </c>
      <c r="C14" s="1213">
        <v>23997370</v>
      </c>
      <c r="D14" s="410"/>
      <c r="E14" s="1216">
        <v>6564695000</v>
      </c>
      <c r="F14" s="1216">
        <v>0</v>
      </c>
      <c r="G14" s="410">
        <v>2954112750</v>
      </c>
    </row>
    <row r="15" spans="1:7" ht="15" customHeight="1">
      <c r="A15" s="197"/>
      <c r="B15" s="1220"/>
      <c r="C15" s="1213"/>
      <c r="D15" s="410"/>
      <c r="E15" s="1216"/>
      <c r="F15" s="1216"/>
      <c r="G15" s="410"/>
    </row>
    <row r="16" spans="1:7" ht="15" customHeight="1">
      <c r="A16" s="190" t="s">
        <v>285</v>
      </c>
      <c r="B16" s="1230">
        <v>195</v>
      </c>
      <c r="C16" s="1231">
        <v>32673665</v>
      </c>
      <c r="D16" s="409"/>
      <c r="E16" s="1232">
        <v>6783628745</v>
      </c>
      <c r="F16" s="1232">
        <v>1879430974</v>
      </c>
      <c r="G16" s="409">
        <v>926283891</v>
      </c>
    </row>
    <row r="17" spans="1:7" ht="15" customHeight="1">
      <c r="A17" s="197" t="s">
        <v>34</v>
      </c>
      <c r="B17" s="1220">
        <v>168</v>
      </c>
      <c r="C17" s="1213">
        <v>20994084</v>
      </c>
      <c r="D17" s="410"/>
      <c r="E17" s="1216">
        <v>4425749745</v>
      </c>
      <c r="F17" s="1216">
        <v>1756480491</v>
      </c>
      <c r="G17" s="410">
        <v>0</v>
      </c>
    </row>
    <row r="18" spans="1:7" ht="15" customHeight="1">
      <c r="A18" s="197" t="s">
        <v>279</v>
      </c>
      <c r="B18" s="1220">
        <v>7</v>
      </c>
      <c r="C18" s="1213">
        <v>1811772</v>
      </c>
      <c r="D18" s="410"/>
      <c r="E18" s="1216">
        <v>351179000</v>
      </c>
      <c r="F18" s="1216">
        <v>122950483</v>
      </c>
      <c r="G18" s="410">
        <v>23268891</v>
      </c>
    </row>
    <row r="19" spans="1:7" ht="15" customHeight="1">
      <c r="A19" s="197" t="s">
        <v>36</v>
      </c>
      <c r="B19" s="1220">
        <v>20</v>
      </c>
      <c r="C19" s="1213">
        <v>9867809</v>
      </c>
      <c r="D19" s="410"/>
      <c r="E19" s="1216">
        <v>2006700000</v>
      </c>
      <c r="F19" s="1216">
        <v>0</v>
      </c>
      <c r="G19" s="410">
        <v>903015000</v>
      </c>
    </row>
    <row r="20" spans="1:7" ht="15" customHeight="1">
      <c r="A20" s="197"/>
      <c r="B20" s="1220"/>
      <c r="C20" s="1213"/>
      <c r="D20" s="410"/>
      <c r="E20" s="1216"/>
      <c r="F20" s="1216"/>
      <c r="G20" s="410"/>
    </row>
    <row r="21" spans="1:7" ht="15" customHeight="1">
      <c r="A21" s="190" t="s">
        <v>286</v>
      </c>
      <c r="B21" s="1230">
        <v>808</v>
      </c>
      <c r="C21" s="1231">
        <v>71536975</v>
      </c>
      <c r="D21" s="409"/>
      <c r="E21" s="1232">
        <v>19772553484</v>
      </c>
      <c r="F21" s="1232">
        <v>7486672507</v>
      </c>
      <c r="G21" s="409">
        <v>373843058</v>
      </c>
    </row>
    <row r="22" spans="1:7" ht="15" customHeight="1">
      <c r="A22" s="197" t="s">
        <v>34</v>
      </c>
      <c r="B22" s="1220">
        <v>760</v>
      </c>
      <c r="C22" s="1213">
        <v>64901379</v>
      </c>
      <c r="D22" s="410"/>
      <c r="E22" s="1216">
        <v>17928810387</v>
      </c>
      <c r="F22" s="1216">
        <v>7108518941</v>
      </c>
      <c r="G22" s="410">
        <v>0</v>
      </c>
    </row>
    <row r="23" spans="1:7" ht="15" customHeight="1">
      <c r="A23" s="197" t="s">
        <v>279</v>
      </c>
      <c r="B23" s="1220">
        <v>21</v>
      </c>
      <c r="C23" s="1213">
        <v>4155832</v>
      </c>
      <c r="D23" s="410"/>
      <c r="E23" s="1216">
        <v>1227739326</v>
      </c>
      <c r="F23" s="1216">
        <v>378153566</v>
      </c>
      <c r="G23" s="410">
        <v>96641361</v>
      </c>
    </row>
    <row r="24" spans="1:7" ht="15" customHeight="1">
      <c r="A24" s="197" t="s">
        <v>36</v>
      </c>
      <c r="B24" s="1220">
        <v>27</v>
      </c>
      <c r="C24" s="1213">
        <v>2479764</v>
      </c>
      <c r="D24" s="410"/>
      <c r="E24" s="1216">
        <v>616003771</v>
      </c>
      <c r="F24" s="1216">
        <v>0</v>
      </c>
      <c r="G24" s="410">
        <v>277201697</v>
      </c>
    </row>
    <row r="25" spans="1:7" ht="15" customHeight="1">
      <c r="A25" s="197"/>
      <c r="B25" s="1220"/>
      <c r="C25" s="1213"/>
      <c r="D25" s="410"/>
      <c r="E25" s="1216"/>
      <c r="F25" s="1216"/>
      <c r="G25" s="410"/>
    </row>
    <row r="26" spans="1:7" ht="15" customHeight="1">
      <c r="A26" s="190" t="s">
        <v>287</v>
      </c>
      <c r="B26" s="1230">
        <v>421</v>
      </c>
      <c r="C26" s="1231">
        <v>90211932</v>
      </c>
      <c r="D26" s="409"/>
      <c r="E26" s="1232">
        <v>27660976851</v>
      </c>
      <c r="F26" s="1232">
        <v>9038313139</v>
      </c>
      <c r="G26" s="409">
        <v>2288234286</v>
      </c>
    </row>
    <row r="27" spans="1:7" ht="15" customHeight="1">
      <c r="A27" s="197" t="s">
        <v>34</v>
      </c>
      <c r="B27" s="1220">
        <v>392</v>
      </c>
      <c r="C27" s="1213">
        <v>71012721</v>
      </c>
      <c r="D27" s="410"/>
      <c r="E27" s="1216">
        <v>20826091186</v>
      </c>
      <c r="F27" s="1216">
        <v>8363205780</v>
      </c>
      <c r="G27" s="410">
        <v>0</v>
      </c>
    </row>
    <row r="28" spans="1:7" ht="15" customHeight="1">
      <c r="A28" s="197" t="s">
        <v>279</v>
      </c>
      <c r="B28" s="1220">
        <v>11</v>
      </c>
      <c r="C28" s="1213">
        <v>6104041</v>
      </c>
      <c r="D28" s="410"/>
      <c r="E28" s="1216">
        <v>1957988666</v>
      </c>
      <c r="F28" s="1216">
        <v>675107359</v>
      </c>
      <c r="G28" s="410">
        <v>93630636</v>
      </c>
    </row>
    <row r="29" spans="1:7" ht="15" customHeight="1">
      <c r="A29" s="197" t="s">
        <v>36</v>
      </c>
      <c r="B29" s="1220">
        <v>18</v>
      </c>
      <c r="C29" s="1213">
        <v>13095170</v>
      </c>
      <c r="D29" s="410"/>
      <c r="E29" s="1216">
        <v>4876896999</v>
      </c>
      <c r="F29" s="1216">
        <v>0</v>
      </c>
      <c r="G29" s="410">
        <v>2194603650</v>
      </c>
    </row>
    <row r="30" spans="1:7" ht="15" customHeight="1">
      <c r="A30" s="197"/>
      <c r="B30" s="1220"/>
      <c r="C30" s="1213"/>
      <c r="D30" s="410"/>
      <c r="E30" s="1216"/>
      <c r="F30" s="1216"/>
      <c r="G30" s="410"/>
    </row>
    <row r="31" spans="1:7" ht="15" customHeight="1">
      <c r="A31" s="190" t="s">
        <v>288</v>
      </c>
      <c r="B31" s="1230">
        <v>285</v>
      </c>
      <c r="C31" s="1231">
        <v>64476595</v>
      </c>
      <c r="D31" s="409"/>
      <c r="E31" s="1232">
        <v>22872579389</v>
      </c>
      <c r="F31" s="1232">
        <v>8472241485</v>
      </c>
      <c r="G31" s="409">
        <v>893426327</v>
      </c>
    </row>
    <row r="32" spans="1:7" ht="15" customHeight="1">
      <c r="A32" s="197" t="s">
        <v>34</v>
      </c>
      <c r="B32" s="1220">
        <v>249</v>
      </c>
      <c r="C32" s="1213">
        <v>50346071</v>
      </c>
      <c r="D32" s="410"/>
      <c r="E32" s="1216">
        <v>17501597167</v>
      </c>
      <c r="F32" s="1216">
        <v>7098694147</v>
      </c>
      <c r="G32" s="410">
        <v>0</v>
      </c>
    </row>
    <row r="33" spans="1:7" ht="15" customHeight="1">
      <c r="A33" s="197" t="s">
        <v>279</v>
      </c>
      <c r="B33" s="1220">
        <v>17</v>
      </c>
      <c r="C33" s="1213">
        <v>9991175</v>
      </c>
      <c r="D33" s="410"/>
      <c r="E33" s="1216">
        <v>3706815222</v>
      </c>
      <c r="F33" s="1216">
        <v>1373547338</v>
      </c>
      <c r="G33" s="410">
        <v>144551177</v>
      </c>
    </row>
    <row r="34" spans="1:7" ht="15" customHeight="1">
      <c r="A34" s="197" t="s">
        <v>36</v>
      </c>
      <c r="B34" s="1220">
        <v>19</v>
      </c>
      <c r="C34" s="1213">
        <v>4139349</v>
      </c>
      <c r="D34" s="410"/>
      <c r="E34" s="1216">
        <v>1664167000</v>
      </c>
      <c r="F34" s="1216">
        <v>0</v>
      </c>
      <c r="G34" s="410">
        <v>748875150</v>
      </c>
    </row>
    <row r="35" spans="1:7" ht="15" customHeight="1">
      <c r="A35" s="197"/>
      <c r="B35" s="1220"/>
      <c r="C35" s="1213"/>
      <c r="D35" s="410"/>
      <c r="E35" s="1216"/>
      <c r="F35" s="1216"/>
      <c r="G35" s="410"/>
    </row>
    <row r="36" spans="1:7" ht="15" customHeight="1">
      <c r="A36" s="190" t="s">
        <v>289</v>
      </c>
      <c r="B36" s="1230">
        <v>348</v>
      </c>
      <c r="C36" s="1231">
        <v>78341337</v>
      </c>
      <c r="D36" s="409"/>
      <c r="E36" s="1232">
        <v>37358362785</v>
      </c>
      <c r="F36" s="1232">
        <v>14675950137</v>
      </c>
      <c r="G36" s="409">
        <v>224103438</v>
      </c>
    </row>
    <row r="37" spans="1:7" ht="15" customHeight="1">
      <c r="A37" s="197" t="s">
        <v>34</v>
      </c>
      <c r="B37" s="1220">
        <v>311</v>
      </c>
      <c r="C37" s="1213">
        <v>73061596</v>
      </c>
      <c r="D37" s="410"/>
      <c r="E37" s="1216">
        <v>34988218897</v>
      </c>
      <c r="F37" s="1216">
        <v>13932993815</v>
      </c>
      <c r="G37" s="410">
        <v>0</v>
      </c>
    </row>
    <row r="38" spans="1:7" ht="15" customHeight="1">
      <c r="A38" s="197" t="s">
        <v>279</v>
      </c>
      <c r="B38" s="1220">
        <v>14</v>
      </c>
      <c r="C38" s="1213">
        <v>4997060</v>
      </c>
      <c r="D38" s="410"/>
      <c r="E38" s="1216">
        <v>2289044888</v>
      </c>
      <c r="F38" s="1216">
        <v>742956322</v>
      </c>
      <c r="G38" s="410">
        <v>187608888</v>
      </c>
    </row>
    <row r="39" spans="1:7" ht="15" customHeight="1">
      <c r="A39" s="197" t="s">
        <v>36</v>
      </c>
      <c r="B39" s="1220">
        <v>23</v>
      </c>
      <c r="C39" s="1213">
        <v>282681</v>
      </c>
      <c r="D39" s="410"/>
      <c r="E39" s="1216">
        <v>81099000</v>
      </c>
      <c r="F39" s="1216">
        <v>0</v>
      </c>
      <c r="G39" s="410">
        <v>36494550</v>
      </c>
    </row>
    <row r="40" spans="1:7" ht="15" customHeight="1">
      <c r="A40" s="197"/>
      <c r="B40" s="1220"/>
      <c r="C40" s="1213"/>
      <c r="D40" s="410"/>
      <c r="E40" s="1216"/>
      <c r="F40" s="1216"/>
      <c r="G40" s="410"/>
    </row>
    <row r="41" spans="1:7" ht="15" customHeight="1">
      <c r="A41" s="190" t="s">
        <v>122</v>
      </c>
      <c r="B41" s="1220"/>
      <c r="C41" s="1213"/>
      <c r="D41" s="410"/>
      <c r="E41" s="1216"/>
      <c r="F41" s="1216"/>
      <c r="G41" s="410"/>
    </row>
    <row r="42" spans="1:7" ht="15" customHeight="1">
      <c r="A42" s="197"/>
      <c r="B42" s="1220"/>
      <c r="C42" s="1213"/>
      <c r="D42" s="410"/>
      <c r="E42" s="1216"/>
      <c r="F42" s="1216"/>
      <c r="G42" s="410"/>
    </row>
    <row r="43" spans="1:7" ht="15" customHeight="1">
      <c r="A43" s="190" t="s">
        <v>290</v>
      </c>
      <c r="B43" s="1230">
        <v>103</v>
      </c>
      <c r="C43" s="1231">
        <v>14802569</v>
      </c>
      <c r="D43" s="409"/>
      <c r="E43" s="1232">
        <v>2457913045</v>
      </c>
      <c r="F43" s="1232">
        <v>498612496</v>
      </c>
      <c r="G43" s="409">
        <v>522528225</v>
      </c>
    </row>
    <row r="44" spans="1:7" ht="15" customHeight="1">
      <c r="A44" s="197" t="s">
        <v>34</v>
      </c>
      <c r="B44" s="1220">
        <v>68</v>
      </c>
      <c r="C44" s="1213">
        <v>6349605</v>
      </c>
      <c r="D44" s="410"/>
      <c r="E44" s="1216">
        <v>953284045</v>
      </c>
      <c r="F44" s="1216">
        <v>366829375</v>
      </c>
      <c r="G44" s="410">
        <v>0</v>
      </c>
    </row>
    <row r="45" spans="1:7" ht="15" customHeight="1">
      <c r="A45" s="197" t="s">
        <v>279</v>
      </c>
      <c r="B45" s="1220">
        <v>11</v>
      </c>
      <c r="C45" s="1213">
        <v>3214576</v>
      </c>
      <c r="D45" s="410"/>
      <c r="E45" s="1216">
        <v>474038000</v>
      </c>
      <c r="F45" s="1216">
        <v>131783121</v>
      </c>
      <c r="G45" s="410">
        <v>58762275</v>
      </c>
    </row>
    <row r="46" spans="1:7" ht="15" customHeight="1">
      <c r="A46" s="204" t="s">
        <v>36</v>
      </c>
      <c r="B46" s="1233">
        <v>24</v>
      </c>
      <c r="C46" s="1234">
        <v>5238388</v>
      </c>
      <c r="D46" s="411"/>
      <c r="E46" s="1222">
        <v>1030591000</v>
      </c>
      <c r="F46" s="1222">
        <v>0</v>
      </c>
      <c r="G46" s="411">
        <v>463765950</v>
      </c>
    </row>
    <row r="48" spans="1:7">
      <c r="A48" s="208" t="s">
        <v>249</v>
      </c>
    </row>
  </sheetData>
  <mergeCells count="4">
    <mergeCell ref="A1:G1"/>
    <mergeCell ref="A2:G2"/>
    <mergeCell ref="A3:G3"/>
    <mergeCell ref="A4:G4"/>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G47"/>
  <sheetViews>
    <sheetView showGridLines="0" workbookViewId="0">
      <selection sqref="A1:G1"/>
    </sheetView>
  </sheetViews>
  <sheetFormatPr defaultColWidth="9.7109375" defaultRowHeight="12.75"/>
  <cols>
    <col min="1" max="1" width="22.28515625" style="208" customWidth="1"/>
    <col min="2" max="2" width="8.5703125" style="208" customWidth="1"/>
    <col min="3" max="3" width="12.85546875" style="208" bestFit="1" customWidth="1"/>
    <col min="4" max="4" width="8.5703125" style="208" customWidth="1"/>
    <col min="5" max="5" width="12.85546875" style="208" bestFit="1" customWidth="1"/>
    <col min="6" max="6" width="8.5703125" style="208" customWidth="1"/>
    <col min="7" max="7" width="12.85546875" style="208" bestFit="1" customWidth="1"/>
    <col min="8" max="16384" width="9.7109375" style="208"/>
  </cols>
  <sheetData>
    <row r="1" spans="1:7" ht="15">
      <c r="A1" s="1008" t="s">
        <v>270</v>
      </c>
      <c r="B1" s="1223"/>
      <c r="C1" s="1223"/>
      <c r="D1" s="1223"/>
      <c r="E1" s="1223"/>
      <c r="F1" s="1223"/>
      <c r="G1" s="1223"/>
    </row>
    <row r="2" spans="1:7" ht="15">
      <c r="A2" s="1008" t="s">
        <v>292</v>
      </c>
      <c r="B2" s="1223"/>
      <c r="C2" s="1223"/>
      <c r="D2" s="1223"/>
      <c r="E2" s="1223"/>
      <c r="F2" s="1223"/>
      <c r="G2" s="1223"/>
    </row>
    <row r="3" spans="1:7" ht="15">
      <c r="A3" s="1008" t="s">
        <v>69</v>
      </c>
      <c r="B3" s="1223"/>
      <c r="C3" s="1223"/>
      <c r="D3" s="1223"/>
      <c r="E3" s="1223"/>
      <c r="F3" s="1223"/>
      <c r="G3" s="1223"/>
    </row>
    <row r="4" spans="1:7">
      <c r="A4" s="212"/>
      <c r="B4" s="212"/>
      <c r="C4" s="212"/>
      <c r="D4" s="212"/>
      <c r="E4" s="212"/>
      <c r="F4" s="212"/>
      <c r="G4" s="212"/>
    </row>
    <row r="5" spans="1:7" ht="15">
      <c r="A5" s="1225"/>
      <c r="B5" s="1235" t="s">
        <v>293</v>
      </c>
      <c r="C5" s="1236"/>
      <c r="D5" s="1235" t="s">
        <v>294</v>
      </c>
      <c r="E5" s="1236"/>
      <c r="F5" s="1235" t="s">
        <v>295</v>
      </c>
      <c r="G5" s="1236"/>
    </row>
    <row r="6" spans="1:7" ht="15">
      <c r="A6" s="181"/>
      <c r="B6" s="1203" t="s">
        <v>73</v>
      </c>
      <c r="C6" s="1205" t="s">
        <v>276</v>
      </c>
      <c r="D6" s="1203" t="s">
        <v>73</v>
      </c>
      <c r="E6" s="1206" t="s">
        <v>276</v>
      </c>
      <c r="F6" s="1205" t="s">
        <v>73</v>
      </c>
      <c r="G6" s="1206" t="s">
        <v>276</v>
      </c>
    </row>
    <row r="7" spans="1:7" ht="15">
      <c r="A7" s="1208"/>
      <c r="B7" s="209"/>
      <c r="C7" s="209"/>
      <c r="D7" s="1207"/>
      <c r="E7" s="408"/>
      <c r="F7" s="209"/>
      <c r="G7" s="408"/>
    </row>
    <row r="8" spans="1:7" ht="15">
      <c r="A8" s="190" t="s">
        <v>119</v>
      </c>
      <c r="B8" s="209"/>
      <c r="C8" s="209"/>
      <c r="D8" s="1207"/>
      <c r="E8" s="408"/>
      <c r="F8" s="209"/>
      <c r="G8" s="408"/>
    </row>
    <row r="9" spans="1:7" ht="15">
      <c r="A9" s="197"/>
      <c r="B9" s="209"/>
      <c r="C9" s="209"/>
      <c r="D9" s="1207"/>
      <c r="E9" s="408"/>
      <c r="F9" s="209"/>
      <c r="G9" s="408"/>
    </row>
    <row r="10" spans="1:7" ht="15">
      <c r="A10" s="190" t="s">
        <v>284</v>
      </c>
      <c r="B10" s="1237">
        <v>36</v>
      </c>
      <c r="C10" s="1238">
        <v>44398517</v>
      </c>
      <c r="D10" s="1239">
        <v>32</v>
      </c>
      <c r="E10" s="1240">
        <v>13559757</v>
      </c>
      <c r="F10" s="1237">
        <v>19</v>
      </c>
      <c r="G10" s="1240">
        <v>723928</v>
      </c>
    </row>
    <row r="11" spans="1:7" ht="14.25">
      <c r="A11" s="197" t="s">
        <v>34</v>
      </c>
      <c r="B11" s="1241">
        <v>24</v>
      </c>
      <c r="C11" s="1242">
        <v>19085084</v>
      </c>
      <c r="D11" s="1243">
        <v>27</v>
      </c>
      <c r="E11" s="1244">
        <v>9681292</v>
      </c>
      <c r="F11" s="1241">
        <v>17</v>
      </c>
      <c r="G11" s="1244">
        <v>380226</v>
      </c>
    </row>
    <row r="12" spans="1:7" ht="14.25">
      <c r="A12" s="197" t="s">
        <v>279</v>
      </c>
      <c r="B12" s="1241">
        <v>3</v>
      </c>
      <c r="C12" s="1242">
        <v>2568016</v>
      </c>
      <c r="D12" s="1243">
        <v>4</v>
      </c>
      <c r="E12" s="1244">
        <v>2724108</v>
      </c>
      <c r="F12" s="1241">
        <v>1</v>
      </c>
      <c r="G12" s="1244">
        <v>246106</v>
      </c>
    </row>
    <row r="13" spans="1:7" ht="14.25">
      <c r="A13" s="197" t="s">
        <v>36</v>
      </c>
      <c r="B13" s="1241">
        <v>9</v>
      </c>
      <c r="C13" s="1242">
        <v>22745417</v>
      </c>
      <c r="D13" s="1243">
        <v>1</v>
      </c>
      <c r="E13" s="1244">
        <v>1154357</v>
      </c>
      <c r="F13" s="1241">
        <v>1</v>
      </c>
      <c r="G13" s="1244">
        <v>97596</v>
      </c>
    </row>
    <row r="14" spans="1:7" ht="14.25">
      <c r="A14" s="197"/>
      <c r="B14" s="1241"/>
      <c r="C14" s="1242"/>
      <c r="D14" s="1243"/>
      <c r="E14" s="1244"/>
      <c r="F14" s="1241"/>
      <c r="G14" s="1244"/>
    </row>
    <row r="15" spans="1:7" ht="15">
      <c r="A15" s="190" t="s">
        <v>285</v>
      </c>
      <c r="B15" s="1237">
        <v>17</v>
      </c>
      <c r="C15" s="1238">
        <v>14212643</v>
      </c>
      <c r="D15" s="1239">
        <v>40</v>
      </c>
      <c r="E15" s="1240">
        <v>14687997</v>
      </c>
      <c r="F15" s="1237">
        <v>138</v>
      </c>
      <c r="G15" s="1240">
        <v>3773025</v>
      </c>
    </row>
    <row r="16" spans="1:7" ht="14.25">
      <c r="A16" s="197" t="s">
        <v>34</v>
      </c>
      <c r="B16" s="1241">
        <v>11</v>
      </c>
      <c r="C16" s="1242">
        <v>9306152</v>
      </c>
      <c r="D16" s="1243">
        <v>28</v>
      </c>
      <c r="E16" s="1244">
        <v>8493979</v>
      </c>
      <c r="F16" s="1241">
        <v>129</v>
      </c>
      <c r="G16" s="1244">
        <v>3193953</v>
      </c>
    </row>
    <row r="17" spans="1:7" ht="14.25">
      <c r="A17" s="197" t="s">
        <v>279</v>
      </c>
      <c r="B17" s="1241">
        <v>3</v>
      </c>
      <c r="C17" s="1242">
        <v>1596922</v>
      </c>
      <c r="D17" s="1243">
        <v>1</v>
      </c>
      <c r="E17" s="1244">
        <v>155450</v>
      </c>
      <c r="F17" s="1241">
        <v>3</v>
      </c>
      <c r="G17" s="1244">
        <v>59400</v>
      </c>
    </row>
    <row r="18" spans="1:7" ht="14.25">
      <c r="A18" s="197" t="s">
        <v>36</v>
      </c>
      <c r="B18" s="1241">
        <v>3</v>
      </c>
      <c r="C18" s="1242">
        <v>3309569</v>
      </c>
      <c r="D18" s="1243">
        <v>11</v>
      </c>
      <c r="E18" s="1244">
        <v>6038568</v>
      </c>
      <c r="F18" s="1241">
        <v>6</v>
      </c>
      <c r="G18" s="1244">
        <v>519672</v>
      </c>
    </row>
    <row r="19" spans="1:7" ht="14.25">
      <c r="A19" s="197"/>
      <c r="B19" s="1241"/>
      <c r="C19" s="1242"/>
      <c r="D19" s="1243"/>
      <c r="E19" s="1244"/>
      <c r="F19" s="1241"/>
      <c r="G19" s="1244"/>
    </row>
    <row r="20" spans="1:7" ht="15">
      <c r="A20" s="190" t="s">
        <v>286</v>
      </c>
      <c r="B20" s="1237">
        <v>13</v>
      </c>
      <c r="C20" s="1238">
        <v>6241181</v>
      </c>
      <c r="D20" s="1239">
        <v>149</v>
      </c>
      <c r="E20" s="1240">
        <v>35224435</v>
      </c>
      <c r="F20" s="1237">
        <v>646</v>
      </c>
      <c r="G20" s="1240">
        <v>30071359</v>
      </c>
    </row>
    <row r="21" spans="1:7" ht="14.25">
      <c r="A21" s="197" t="s">
        <v>34</v>
      </c>
      <c r="B21" s="1241">
        <v>10</v>
      </c>
      <c r="C21" s="1242">
        <v>3990605</v>
      </c>
      <c r="D21" s="1243">
        <v>140</v>
      </c>
      <c r="E21" s="1244">
        <v>31983215</v>
      </c>
      <c r="F21" s="1241">
        <v>610</v>
      </c>
      <c r="G21" s="1244">
        <v>28927559</v>
      </c>
    </row>
    <row r="22" spans="1:7" ht="14.25">
      <c r="A22" s="197" t="s">
        <v>279</v>
      </c>
      <c r="B22" s="1241">
        <v>2</v>
      </c>
      <c r="C22" s="1242">
        <v>1864745</v>
      </c>
      <c r="D22" s="1243">
        <v>5</v>
      </c>
      <c r="E22" s="1244">
        <v>1733252</v>
      </c>
      <c r="F22" s="1241">
        <v>14</v>
      </c>
      <c r="G22" s="1244">
        <v>557835</v>
      </c>
    </row>
    <row r="23" spans="1:7" ht="14.25">
      <c r="A23" s="197" t="s">
        <v>36</v>
      </c>
      <c r="B23" s="1241">
        <v>1</v>
      </c>
      <c r="C23" s="1242">
        <v>385831</v>
      </c>
      <c r="D23" s="1243">
        <v>4</v>
      </c>
      <c r="E23" s="1244">
        <v>1507968</v>
      </c>
      <c r="F23" s="1241">
        <v>22</v>
      </c>
      <c r="G23" s="1244">
        <v>585965</v>
      </c>
    </row>
    <row r="24" spans="1:7" ht="14.25">
      <c r="A24" s="197"/>
      <c r="B24" s="1241"/>
      <c r="C24" s="1242"/>
      <c r="D24" s="1243"/>
      <c r="E24" s="1244"/>
      <c r="F24" s="1241"/>
      <c r="G24" s="1244"/>
    </row>
    <row r="25" spans="1:7" ht="15">
      <c r="A25" s="190" t="s">
        <v>287</v>
      </c>
      <c r="B25" s="1237">
        <v>43</v>
      </c>
      <c r="C25" s="1238">
        <v>41595773</v>
      </c>
      <c r="D25" s="1239">
        <v>110</v>
      </c>
      <c r="E25" s="1240">
        <v>31029680</v>
      </c>
      <c r="F25" s="1237">
        <v>268</v>
      </c>
      <c r="G25" s="1240">
        <v>17586479</v>
      </c>
    </row>
    <row r="26" spans="1:7" ht="14.25">
      <c r="A26" s="197" t="s">
        <v>34</v>
      </c>
      <c r="B26" s="1241">
        <v>33</v>
      </c>
      <c r="C26" s="1242">
        <v>28442009</v>
      </c>
      <c r="D26" s="1243">
        <v>100</v>
      </c>
      <c r="E26" s="1244">
        <v>26588695</v>
      </c>
      <c r="F26" s="1241">
        <v>259</v>
      </c>
      <c r="G26" s="1244">
        <v>15982017</v>
      </c>
    </row>
    <row r="27" spans="1:7" ht="14.25">
      <c r="A27" s="197" t="s">
        <v>279</v>
      </c>
      <c r="B27" s="1241">
        <v>1</v>
      </c>
      <c r="C27" s="1242">
        <v>1047390</v>
      </c>
      <c r="D27" s="1243">
        <v>8</v>
      </c>
      <c r="E27" s="1244">
        <v>3904885</v>
      </c>
      <c r="F27" s="1241">
        <v>2</v>
      </c>
      <c r="G27" s="1244">
        <v>1151766</v>
      </c>
    </row>
    <row r="28" spans="1:7" ht="14.25">
      <c r="A28" s="197" t="s">
        <v>36</v>
      </c>
      <c r="B28" s="1241">
        <v>9</v>
      </c>
      <c r="C28" s="1242">
        <v>12106374</v>
      </c>
      <c r="D28" s="1243">
        <v>2</v>
      </c>
      <c r="E28" s="1244">
        <v>536100</v>
      </c>
      <c r="F28" s="1241">
        <v>7</v>
      </c>
      <c r="G28" s="1244">
        <v>452696</v>
      </c>
    </row>
    <row r="29" spans="1:7" ht="14.25">
      <c r="A29" s="197"/>
      <c r="B29" s="1241"/>
      <c r="C29" s="1242"/>
      <c r="D29" s="1243"/>
      <c r="E29" s="1244"/>
      <c r="F29" s="1241"/>
      <c r="G29" s="1244"/>
    </row>
    <row r="30" spans="1:7" ht="15">
      <c r="A30" s="190" t="s">
        <v>288</v>
      </c>
      <c r="B30" s="1237">
        <v>76</v>
      </c>
      <c r="C30" s="1238">
        <v>47402062</v>
      </c>
      <c r="D30" s="1239">
        <v>63</v>
      </c>
      <c r="E30" s="1240">
        <v>12568496</v>
      </c>
      <c r="F30" s="1237">
        <v>146</v>
      </c>
      <c r="G30" s="1240">
        <v>4506037</v>
      </c>
    </row>
    <row r="31" spans="1:7" ht="14.25">
      <c r="A31" s="197" t="s">
        <v>34</v>
      </c>
      <c r="B31" s="1241">
        <v>58</v>
      </c>
      <c r="C31" s="1242">
        <v>34007587</v>
      </c>
      <c r="D31" s="1243">
        <v>61</v>
      </c>
      <c r="E31" s="1244">
        <v>12237611</v>
      </c>
      <c r="F31" s="1241">
        <v>130</v>
      </c>
      <c r="G31" s="1244">
        <v>4100873</v>
      </c>
    </row>
    <row r="32" spans="1:7" ht="14.25">
      <c r="A32" s="197" t="s">
        <v>279</v>
      </c>
      <c r="B32" s="1241">
        <v>12</v>
      </c>
      <c r="C32" s="1242">
        <v>9879416</v>
      </c>
      <c r="D32" s="1243" t="s">
        <v>296</v>
      </c>
      <c r="E32" s="1244" t="s">
        <v>296</v>
      </c>
      <c r="F32" s="1241">
        <v>5</v>
      </c>
      <c r="G32" s="1244">
        <v>111759</v>
      </c>
    </row>
    <row r="33" spans="1:7" ht="14.25">
      <c r="A33" s="197" t="s">
        <v>36</v>
      </c>
      <c r="B33" s="1241">
        <v>6</v>
      </c>
      <c r="C33" s="1242">
        <v>3515059</v>
      </c>
      <c r="D33" s="1243">
        <v>2</v>
      </c>
      <c r="E33" s="1244">
        <v>330885</v>
      </c>
      <c r="F33" s="1241">
        <v>11</v>
      </c>
      <c r="G33" s="1244">
        <v>293405</v>
      </c>
    </row>
    <row r="34" spans="1:7" ht="14.25">
      <c r="A34" s="197"/>
      <c r="B34" s="1241"/>
      <c r="C34" s="1242"/>
      <c r="D34" s="1243"/>
      <c r="E34" s="1244"/>
      <c r="F34" s="1241"/>
      <c r="G34" s="1244"/>
    </row>
    <row r="35" spans="1:7" ht="15">
      <c r="A35" s="190" t="s">
        <v>289</v>
      </c>
      <c r="B35" s="1237">
        <v>126</v>
      </c>
      <c r="C35" s="1238">
        <v>70696744</v>
      </c>
      <c r="D35" s="1239">
        <v>15</v>
      </c>
      <c r="E35" s="1240">
        <v>1959950</v>
      </c>
      <c r="F35" s="1237">
        <v>207</v>
      </c>
      <c r="G35" s="1240">
        <v>5684643</v>
      </c>
    </row>
    <row r="36" spans="1:7" ht="14.25">
      <c r="A36" s="197" t="s">
        <v>34</v>
      </c>
      <c r="B36" s="1241">
        <v>120</v>
      </c>
      <c r="C36" s="1242">
        <v>66012776</v>
      </c>
      <c r="D36" s="1243">
        <v>15</v>
      </c>
      <c r="E36" s="1244">
        <v>1959950</v>
      </c>
      <c r="F36" s="1241">
        <v>176</v>
      </c>
      <c r="G36" s="1244">
        <v>5088870</v>
      </c>
    </row>
    <row r="37" spans="1:7" ht="14.25">
      <c r="A37" s="197" t="s">
        <v>279</v>
      </c>
      <c r="B37" s="1241">
        <v>6</v>
      </c>
      <c r="C37" s="1242">
        <v>4683968</v>
      </c>
      <c r="D37" s="1243" t="s">
        <v>296</v>
      </c>
      <c r="E37" s="1244" t="s">
        <v>296</v>
      </c>
      <c r="F37" s="1241">
        <v>8</v>
      </c>
      <c r="G37" s="1244">
        <v>313092</v>
      </c>
    </row>
    <row r="38" spans="1:7" ht="14.25">
      <c r="A38" s="197" t="s">
        <v>36</v>
      </c>
      <c r="B38" s="1241" t="s">
        <v>296</v>
      </c>
      <c r="C38" s="1242" t="s">
        <v>296</v>
      </c>
      <c r="D38" s="1243" t="s">
        <v>296</v>
      </c>
      <c r="E38" s="1244" t="s">
        <v>296</v>
      </c>
      <c r="F38" s="1241">
        <v>23</v>
      </c>
      <c r="G38" s="1244">
        <v>282681</v>
      </c>
    </row>
    <row r="39" spans="1:7" ht="14.25">
      <c r="A39" s="197"/>
      <c r="B39" s="1241"/>
      <c r="C39" s="1242"/>
      <c r="D39" s="1243"/>
      <c r="E39" s="1244"/>
      <c r="F39" s="1241"/>
      <c r="G39" s="1244"/>
    </row>
    <row r="40" spans="1:7" ht="15">
      <c r="A40" s="190" t="s">
        <v>122</v>
      </c>
      <c r="B40" s="1241"/>
      <c r="C40" s="1242"/>
      <c r="D40" s="1243"/>
      <c r="E40" s="1244"/>
      <c r="F40" s="1241"/>
      <c r="G40" s="1244"/>
    </row>
    <row r="41" spans="1:7" ht="14.25">
      <c r="A41" s="197"/>
      <c r="B41" s="1241"/>
      <c r="C41" s="1242"/>
      <c r="D41" s="1243"/>
      <c r="E41" s="1244"/>
      <c r="F41" s="1241"/>
      <c r="G41" s="1244"/>
    </row>
    <row r="42" spans="1:7" ht="15">
      <c r="A42" s="190" t="s">
        <v>290</v>
      </c>
      <c r="B42" s="1237">
        <v>13</v>
      </c>
      <c r="C42" s="1238">
        <v>6934642</v>
      </c>
      <c r="D42" s="1239">
        <v>21</v>
      </c>
      <c r="E42" s="1240">
        <v>2912429</v>
      </c>
      <c r="F42" s="1237">
        <v>69</v>
      </c>
      <c r="G42" s="1240">
        <v>4955498</v>
      </c>
    </row>
    <row r="43" spans="1:7" ht="14.25">
      <c r="A43" s="197" t="s">
        <v>34</v>
      </c>
      <c r="B43" s="1241">
        <v>3</v>
      </c>
      <c r="C43" s="1242">
        <v>2247809</v>
      </c>
      <c r="D43" s="1243">
        <v>14</v>
      </c>
      <c r="E43" s="1244">
        <v>1786641</v>
      </c>
      <c r="F43" s="1241">
        <v>51</v>
      </c>
      <c r="G43" s="1244">
        <v>2315155</v>
      </c>
    </row>
    <row r="44" spans="1:7" ht="14.25">
      <c r="A44" s="197" t="s">
        <v>279</v>
      </c>
      <c r="B44" s="1241">
        <v>1</v>
      </c>
      <c r="C44" s="1242">
        <v>725991</v>
      </c>
      <c r="D44" s="1243">
        <v>3</v>
      </c>
      <c r="E44" s="1244">
        <v>546483</v>
      </c>
      <c r="F44" s="1241">
        <v>7</v>
      </c>
      <c r="G44" s="1244">
        <v>1942102</v>
      </c>
    </row>
    <row r="45" spans="1:7" ht="14.25">
      <c r="A45" s="204" t="s">
        <v>36</v>
      </c>
      <c r="B45" s="1245">
        <v>9</v>
      </c>
      <c r="C45" s="1246">
        <v>3960842</v>
      </c>
      <c r="D45" s="1247">
        <v>4</v>
      </c>
      <c r="E45" s="1248">
        <v>579305</v>
      </c>
      <c r="F45" s="1245">
        <v>11</v>
      </c>
      <c r="G45" s="1248">
        <v>698241</v>
      </c>
    </row>
    <row r="46" spans="1:7" s="1249" customFormat="1">
      <c r="A46" s="208"/>
      <c r="B46" s="208"/>
      <c r="C46" s="208"/>
      <c r="D46" s="208"/>
      <c r="E46" s="208"/>
      <c r="F46" s="208"/>
      <c r="G46" s="208"/>
    </row>
    <row r="47" spans="1:7">
      <c r="A47" s="208" t="s">
        <v>249</v>
      </c>
    </row>
  </sheetData>
  <mergeCells count="6">
    <mergeCell ref="A1:G1"/>
    <mergeCell ref="A2:G2"/>
    <mergeCell ref="A3:G3"/>
    <mergeCell ref="B5:C5"/>
    <mergeCell ref="D5:E5"/>
    <mergeCell ref="F5:G5"/>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J49"/>
  <sheetViews>
    <sheetView showGridLines="0" workbookViewId="0">
      <selection sqref="A1:J1"/>
    </sheetView>
  </sheetViews>
  <sheetFormatPr defaultColWidth="9.7109375" defaultRowHeight="12.75"/>
  <cols>
    <col min="1" max="1" width="22.28515625" style="208" customWidth="1"/>
    <col min="2" max="10" width="12.7109375" style="208" customWidth="1"/>
    <col min="11" max="16384" width="9.7109375" style="208"/>
  </cols>
  <sheetData>
    <row r="1" spans="1:10" ht="15">
      <c r="A1" s="1008" t="s">
        <v>270</v>
      </c>
      <c r="B1" s="1223"/>
      <c r="C1" s="1223"/>
      <c r="D1" s="1223"/>
      <c r="E1" s="1223"/>
      <c r="F1" s="1223"/>
      <c r="G1" s="1223"/>
      <c r="H1" s="1223"/>
      <c r="I1" s="1223"/>
      <c r="J1" s="1223"/>
    </row>
    <row r="2" spans="1:10" ht="15">
      <c r="A2" s="1008" t="s">
        <v>297</v>
      </c>
      <c r="B2" s="1223"/>
      <c r="C2" s="1223"/>
      <c r="D2" s="1223"/>
      <c r="E2" s="1223"/>
      <c r="F2" s="1223"/>
      <c r="G2" s="1223"/>
      <c r="H2" s="1223"/>
      <c r="I2" s="1223"/>
      <c r="J2" s="1223"/>
    </row>
    <row r="3" spans="1:10" ht="15">
      <c r="A3" s="1008" t="s">
        <v>69</v>
      </c>
      <c r="B3" s="1223"/>
      <c r="C3" s="1223"/>
      <c r="D3" s="1223"/>
      <c r="E3" s="1223"/>
      <c r="F3" s="1223"/>
      <c r="G3" s="1223"/>
      <c r="H3" s="1223"/>
      <c r="I3" s="1223"/>
      <c r="J3" s="1223"/>
    </row>
    <row r="4" spans="1:10" ht="15">
      <c r="A4" s="1008" t="s">
        <v>272</v>
      </c>
      <c r="B4" s="1250"/>
      <c r="C4" s="1250"/>
      <c r="D4" s="1250"/>
      <c r="E4" s="1250"/>
      <c r="F4" s="1250"/>
      <c r="G4" s="1250"/>
      <c r="H4" s="1250"/>
      <c r="I4" s="1250"/>
      <c r="J4" s="1250"/>
    </row>
    <row r="6" spans="1:10">
      <c r="A6" s="212"/>
      <c r="B6" s="212"/>
      <c r="C6" s="212"/>
      <c r="D6" s="212"/>
      <c r="E6" s="212"/>
      <c r="F6" s="212"/>
      <c r="G6" s="212"/>
      <c r="H6" s="212"/>
      <c r="I6" s="212"/>
      <c r="J6" s="212"/>
    </row>
    <row r="7" spans="1:10" ht="15">
      <c r="A7" s="1225"/>
      <c r="B7" s="1235" t="s">
        <v>293</v>
      </c>
      <c r="C7" s="1251"/>
      <c r="D7" s="1236"/>
      <c r="E7" s="1235" t="s">
        <v>294</v>
      </c>
      <c r="F7" s="1251"/>
      <c r="G7" s="1236"/>
      <c r="H7" s="1235" t="s">
        <v>295</v>
      </c>
      <c r="I7" s="1251"/>
      <c r="J7" s="1236"/>
    </row>
    <row r="8" spans="1:10" ht="15">
      <c r="A8" s="181"/>
      <c r="B8" s="1203" t="s">
        <v>281</v>
      </c>
      <c r="C8" s="1205" t="s">
        <v>277</v>
      </c>
      <c r="D8" s="1205" t="s">
        <v>282</v>
      </c>
      <c r="E8" s="1203" t="s">
        <v>281</v>
      </c>
      <c r="F8" s="1205" t="s">
        <v>277</v>
      </c>
      <c r="G8" s="1206" t="s">
        <v>282</v>
      </c>
      <c r="H8" s="1205" t="s">
        <v>281</v>
      </c>
      <c r="I8" s="1205" t="s">
        <v>277</v>
      </c>
      <c r="J8" s="1206" t="s">
        <v>282</v>
      </c>
    </row>
    <row r="9" spans="1:10" ht="15">
      <c r="A9" s="197"/>
      <c r="B9" s="209"/>
      <c r="C9" s="209"/>
      <c r="D9" s="209"/>
      <c r="E9" s="1207"/>
      <c r="F9" s="209"/>
      <c r="G9" s="408"/>
      <c r="H9" s="209"/>
      <c r="I9" s="209"/>
      <c r="J9" s="408"/>
    </row>
    <row r="10" spans="1:10" ht="15">
      <c r="A10" s="190" t="s">
        <v>119</v>
      </c>
      <c r="B10" s="209"/>
      <c r="C10" s="209"/>
      <c r="D10" s="209"/>
      <c r="E10" s="1207"/>
      <c r="F10" s="209"/>
      <c r="G10" s="408"/>
      <c r="H10" s="209"/>
      <c r="I10" s="209"/>
      <c r="J10" s="408"/>
    </row>
    <row r="11" spans="1:10" ht="15">
      <c r="A11" s="197"/>
      <c r="B11" s="209"/>
      <c r="C11" s="209"/>
      <c r="D11" s="209"/>
      <c r="E11" s="1207"/>
      <c r="F11" s="209"/>
      <c r="G11" s="408"/>
      <c r="H11" s="209"/>
      <c r="I11" s="209"/>
      <c r="J11" s="408"/>
    </row>
    <row r="12" spans="1:10" ht="15">
      <c r="A12" s="190" t="s">
        <v>284</v>
      </c>
      <c r="B12" s="1252">
        <v>11092174443</v>
      </c>
      <c r="C12" s="1252">
        <v>1915218308</v>
      </c>
      <c r="D12" s="1252">
        <v>2900238050</v>
      </c>
      <c r="E12" s="1253">
        <v>2428043666</v>
      </c>
      <c r="F12" s="1252">
        <v>877560530</v>
      </c>
      <c r="G12" s="1254">
        <v>101072070</v>
      </c>
      <c r="H12" s="1252">
        <v>118489000</v>
      </c>
      <c r="I12" s="1252">
        <v>29339111</v>
      </c>
      <c r="J12" s="1254">
        <v>13440109</v>
      </c>
    </row>
    <row r="13" spans="1:10" ht="14.25">
      <c r="A13" s="197" t="s">
        <v>34</v>
      </c>
      <c r="B13" s="1255">
        <v>4144914110</v>
      </c>
      <c r="C13" s="1255">
        <v>1710703961</v>
      </c>
      <c r="D13" s="1255">
        <v>0</v>
      </c>
      <c r="E13" s="1256">
        <v>1660229333</v>
      </c>
      <c r="F13" s="1255">
        <v>658943746</v>
      </c>
      <c r="G13" s="1257">
        <v>0</v>
      </c>
      <c r="H13" s="1255">
        <v>76110000</v>
      </c>
      <c r="I13" s="1255">
        <v>28696511</v>
      </c>
      <c r="J13" s="1257">
        <v>0</v>
      </c>
    </row>
    <row r="14" spans="1:10" ht="14.25">
      <c r="A14" s="197" t="s">
        <v>279</v>
      </c>
      <c r="B14" s="1255">
        <v>593518333</v>
      </c>
      <c r="C14" s="1255">
        <v>204514347</v>
      </c>
      <c r="D14" s="1255">
        <v>41054150</v>
      </c>
      <c r="E14" s="1256">
        <v>572970333</v>
      </c>
      <c r="F14" s="1255">
        <v>218616784</v>
      </c>
      <c r="G14" s="1257">
        <v>13392270</v>
      </c>
      <c r="H14" s="1255">
        <v>26270000</v>
      </c>
      <c r="I14" s="1255">
        <v>642600</v>
      </c>
      <c r="J14" s="1257">
        <v>6191059</v>
      </c>
    </row>
    <row r="15" spans="1:10" ht="14.25">
      <c r="A15" s="197" t="s">
        <v>36</v>
      </c>
      <c r="B15" s="1255">
        <v>6353742000</v>
      </c>
      <c r="C15" s="1255">
        <v>0</v>
      </c>
      <c r="D15" s="1255">
        <v>2859183900</v>
      </c>
      <c r="E15" s="1256">
        <v>194844000</v>
      </c>
      <c r="F15" s="1255">
        <v>0</v>
      </c>
      <c r="G15" s="1257">
        <v>87679800</v>
      </c>
      <c r="H15" s="1255">
        <v>16109000</v>
      </c>
      <c r="I15" s="1255">
        <v>0</v>
      </c>
      <c r="J15" s="1257">
        <v>7249050</v>
      </c>
    </row>
    <row r="16" spans="1:10" ht="14.25">
      <c r="A16" s="197"/>
      <c r="B16" s="1255"/>
      <c r="C16" s="1255"/>
      <c r="D16" s="1255"/>
      <c r="E16" s="1256"/>
      <c r="F16" s="1255"/>
      <c r="G16" s="1257"/>
      <c r="H16" s="1255"/>
      <c r="I16" s="1255"/>
      <c r="J16" s="1257"/>
    </row>
    <row r="17" spans="1:10" ht="15">
      <c r="A17" s="190" t="s">
        <v>285</v>
      </c>
      <c r="B17" s="1252">
        <v>2936507000</v>
      </c>
      <c r="C17" s="1252">
        <v>897830949</v>
      </c>
      <c r="D17" s="1252">
        <v>348471900</v>
      </c>
      <c r="E17" s="1253">
        <v>2996542666</v>
      </c>
      <c r="F17" s="1252">
        <v>715698199</v>
      </c>
      <c r="G17" s="1254">
        <v>503552091</v>
      </c>
      <c r="H17" s="1252">
        <v>850579079</v>
      </c>
      <c r="I17" s="1252">
        <v>265901826</v>
      </c>
      <c r="J17" s="1254">
        <v>74259900</v>
      </c>
    </row>
    <row r="18" spans="1:10" ht="14.25">
      <c r="A18" s="197" t="s">
        <v>34</v>
      </c>
      <c r="B18" s="1255">
        <v>1884899000</v>
      </c>
      <c r="C18" s="1255">
        <v>784152661</v>
      </c>
      <c r="D18" s="1255">
        <v>0</v>
      </c>
      <c r="E18" s="1256">
        <v>1863158666</v>
      </c>
      <c r="F18" s="1255">
        <v>709794672</v>
      </c>
      <c r="G18" s="1257">
        <v>0</v>
      </c>
      <c r="H18" s="1255">
        <v>677692079</v>
      </c>
      <c r="I18" s="1255">
        <v>262533158</v>
      </c>
      <c r="J18" s="1257">
        <v>0</v>
      </c>
    </row>
    <row r="19" spans="1:10" ht="14.25">
      <c r="A19" s="197" t="s">
        <v>279</v>
      </c>
      <c r="B19" s="1255">
        <v>305281000</v>
      </c>
      <c r="C19" s="1255">
        <v>113678288</v>
      </c>
      <c r="D19" s="1255">
        <v>12624750</v>
      </c>
      <c r="E19" s="1256">
        <v>27912000</v>
      </c>
      <c r="F19" s="1255">
        <v>5903527</v>
      </c>
      <c r="G19" s="1257">
        <v>6089691</v>
      </c>
      <c r="H19" s="1255">
        <v>17986000</v>
      </c>
      <c r="I19" s="1255">
        <v>3368668</v>
      </c>
      <c r="J19" s="1257">
        <v>4554450</v>
      </c>
    </row>
    <row r="20" spans="1:10" ht="14.25">
      <c r="A20" s="197" t="s">
        <v>36</v>
      </c>
      <c r="B20" s="1255">
        <v>746327000</v>
      </c>
      <c r="C20" s="1255">
        <v>0</v>
      </c>
      <c r="D20" s="1255">
        <v>335847150</v>
      </c>
      <c r="E20" s="1256">
        <v>1105472000</v>
      </c>
      <c r="F20" s="1255">
        <v>0</v>
      </c>
      <c r="G20" s="1257">
        <v>497462400</v>
      </c>
      <c r="H20" s="1255">
        <v>154901000</v>
      </c>
      <c r="I20" s="1255">
        <v>0</v>
      </c>
      <c r="J20" s="1257">
        <v>69705450</v>
      </c>
    </row>
    <row r="21" spans="1:10" ht="14.25">
      <c r="A21" s="197"/>
      <c r="B21" s="1255"/>
      <c r="C21" s="1255"/>
      <c r="D21" s="1255"/>
      <c r="E21" s="1256"/>
      <c r="F21" s="1255"/>
      <c r="G21" s="1257"/>
      <c r="H21" s="1255"/>
      <c r="I21" s="1255"/>
      <c r="J21" s="1257"/>
    </row>
    <row r="22" spans="1:10" ht="15">
      <c r="A22" s="190" t="s">
        <v>286</v>
      </c>
      <c r="B22" s="1252">
        <v>2108956368</v>
      </c>
      <c r="C22" s="1252">
        <v>737776454</v>
      </c>
      <c r="D22" s="1252">
        <v>115777440</v>
      </c>
      <c r="E22" s="1253">
        <v>10519682082</v>
      </c>
      <c r="F22" s="1252">
        <v>4018100570</v>
      </c>
      <c r="G22" s="1254">
        <v>190451677</v>
      </c>
      <c r="H22" s="1252">
        <v>7143915034</v>
      </c>
      <c r="I22" s="1252">
        <v>2730795483</v>
      </c>
      <c r="J22" s="1254">
        <v>67613941</v>
      </c>
    </row>
    <row r="23" spans="1:10" ht="14.25">
      <c r="A23" s="197" t="s">
        <v>34</v>
      </c>
      <c r="B23" s="1255">
        <v>1381022375</v>
      </c>
      <c r="C23" s="1255">
        <v>557413072</v>
      </c>
      <c r="D23" s="1255">
        <v>0</v>
      </c>
      <c r="E23" s="1256">
        <v>9687529001</v>
      </c>
      <c r="F23" s="1255">
        <v>3864748373</v>
      </c>
      <c r="G23" s="1257">
        <v>0</v>
      </c>
      <c r="H23" s="1255">
        <v>6860259011</v>
      </c>
      <c r="I23" s="1255">
        <v>2686357496</v>
      </c>
      <c r="J23" s="1257">
        <v>0</v>
      </c>
    </row>
    <row r="24" spans="1:10" ht="14.25">
      <c r="A24" s="197" t="s">
        <v>279</v>
      </c>
      <c r="B24" s="1255">
        <v>603225993</v>
      </c>
      <c r="C24" s="1255">
        <v>180363382</v>
      </c>
      <c r="D24" s="1255">
        <v>59658840</v>
      </c>
      <c r="E24" s="1256">
        <v>460728333</v>
      </c>
      <c r="F24" s="1255">
        <v>153352197</v>
      </c>
      <c r="G24" s="1257">
        <v>23310540</v>
      </c>
      <c r="H24" s="1255">
        <v>163785000</v>
      </c>
      <c r="I24" s="1255">
        <v>44437987</v>
      </c>
      <c r="J24" s="1257">
        <v>13671981</v>
      </c>
    </row>
    <row r="25" spans="1:10" ht="14.25">
      <c r="A25" s="197" t="s">
        <v>36</v>
      </c>
      <c r="B25" s="1255">
        <v>124708000</v>
      </c>
      <c r="C25" s="1255">
        <v>0</v>
      </c>
      <c r="D25" s="1255">
        <v>56118600</v>
      </c>
      <c r="E25" s="1256">
        <v>371424748</v>
      </c>
      <c r="F25" s="1255">
        <v>0</v>
      </c>
      <c r="G25" s="1257">
        <v>167141137</v>
      </c>
      <c r="H25" s="1255">
        <v>119871023</v>
      </c>
      <c r="I25" s="1255">
        <v>0</v>
      </c>
      <c r="J25" s="1257">
        <v>53941960</v>
      </c>
    </row>
    <row r="26" spans="1:10" ht="14.25">
      <c r="A26" s="197"/>
      <c r="B26" s="1255"/>
      <c r="C26" s="1255"/>
      <c r="D26" s="1255"/>
      <c r="E26" s="1256"/>
      <c r="F26" s="1255"/>
      <c r="G26" s="1257"/>
      <c r="H26" s="1255"/>
      <c r="I26" s="1255"/>
      <c r="J26" s="1257"/>
    </row>
    <row r="27" spans="1:10" ht="15">
      <c r="A27" s="190" t="s">
        <v>287</v>
      </c>
      <c r="B27" s="1252">
        <v>16241032080</v>
      </c>
      <c r="C27" s="1252">
        <v>4657067844</v>
      </c>
      <c r="D27" s="1252">
        <v>2109935880</v>
      </c>
      <c r="E27" s="1253">
        <v>7901087066</v>
      </c>
      <c r="F27" s="1252">
        <v>3018359547</v>
      </c>
      <c r="G27" s="1254">
        <v>128053656</v>
      </c>
      <c r="H27" s="1252">
        <v>3518857705</v>
      </c>
      <c r="I27" s="1252">
        <v>1362885748</v>
      </c>
      <c r="J27" s="1254">
        <v>50244750</v>
      </c>
    </row>
    <row r="28" spans="1:10" ht="14.25">
      <c r="A28" s="197" t="s">
        <v>34</v>
      </c>
      <c r="B28" s="1255">
        <v>11040292081</v>
      </c>
      <c r="C28" s="1255">
        <v>4462194937</v>
      </c>
      <c r="D28" s="1255">
        <v>0</v>
      </c>
      <c r="E28" s="1256">
        <v>6800220400</v>
      </c>
      <c r="F28" s="1255">
        <v>2702082507</v>
      </c>
      <c r="G28" s="1257">
        <v>0</v>
      </c>
      <c r="H28" s="1255">
        <v>2985578705</v>
      </c>
      <c r="I28" s="1255">
        <v>1198928336</v>
      </c>
      <c r="J28" s="1257">
        <v>0</v>
      </c>
    </row>
    <row r="29" spans="1:10" ht="14.25">
      <c r="A29" s="197" t="s">
        <v>279</v>
      </c>
      <c r="B29" s="1255">
        <v>542800000</v>
      </c>
      <c r="C29" s="1255">
        <v>194872907</v>
      </c>
      <c r="D29" s="1255">
        <v>13862880</v>
      </c>
      <c r="E29" s="1256">
        <v>973158666</v>
      </c>
      <c r="F29" s="1255">
        <v>316277040</v>
      </c>
      <c r="G29" s="1257">
        <v>70585056</v>
      </c>
      <c r="H29" s="1255">
        <v>442030000</v>
      </c>
      <c r="I29" s="1255">
        <v>163957412</v>
      </c>
      <c r="J29" s="1257">
        <v>9182700</v>
      </c>
    </row>
    <row r="30" spans="1:10" ht="14.25">
      <c r="A30" s="197" t="s">
        <v>36</v>
      </c>
      <c r="B30" s="1255">
        <v>4657939999</v>
      </c>
      <c r="C30" s="1255">
        <v>0</v>
      </c>
      <c r="D30" s="1255">
        <v>2096073000</v>
      </c>
      <c r="E30" s="1256">
        <v>127708000</v>
      </c>
      <c r="F30" s="1255">
        <v>0</v>
      </c>
      <c r="G30" s="1257">
        <v>57468600</v>
      </c>
      <c r="H30" s="1255">
        <v>91249000</v>
      </c>
      <c r="I30" s="1255">
        <v>0</v>
      </c>
      <c r="J30" s="1257">
        <v>41062050</v>
      </c>
    </row>
    <row r="31" spans="1:10" ht="14.25">
      <c r="A31" s="197"/>
      <c r="B31" s="1255"/>
      <c r="C31" s="1255"/>
      <c r="D31" s="1255"/>
      <c r="E31" s="1256"/>
      <c r="F31" s="1255"/>
      <c r="G31" s="1257"/>
      <c r="H31" s="1255"/>
      <c r="I31" s="1255"/>
      <c r="J31" s="1257"/>
    </row>
    <row r="32" spans="1:10" ht="15">
      <c r="A32" s="190" t="s">
        <v>288</v>
      </c>
      <c r="B32" s="1252">
        <v>17943412465</v>
      </c>
      <c r="C32" s="1252">
        <v>6611180946</v>
      </c>
      <c r="D32" s="1252">
        <v>800834233</v>
      </c>
      <c r="E32" s="1253">
        <v>3780829771</v>
      </c>
      <c r="F32" s="1252">
        <v>1443533358</v>
      </c>
      <c r="G32" s="1254">
        <v>50815350</v>
      </c>
      <c r="H32" s="1252">
        <v>1148337153</v>
      </c>
      <c r="I32" s="1252">
        <v>417527181</v>
      </c>
      <c r="J32" s="1254">
        <v>41776744</v>
      </c>
    </row>
    <row r="33" spans="1:10" ht="14.25">
      <c r="A33" s="197" t="s">
        <v>34</v>
      </c>
      <c r="B33" s="1255">
        <v>12788640243</v>
      </c>
      <c r="C33" s="1255">
        <v>5240634391</v>
      </c>
      <c r="D33" s="1255">
        <v>0</v>
      </c>
      <c r="E33" s="1256">
        <v>3667906771</v>
      </c>
      <c r="F33" s="1255">
        <v>1443533358</v>
      </c>
      <c r="G33" s="1257">
        <v>0</v>
      </c>
      <c r="H33" s="1255">
        <v>1045050153</v>
      </c>
      <c r="I33" s="1255">
        <v>414526398</v>
      </c>
      <c r="J33" s="1257">
        <v>0</v>
      </c>
    </row>
    <row r="34" spans="1:10" ht="14.25">
      <c r="A34" s="197" t="s">
        <v>279</v>
      </c>
      <c r="B34" s="1255">
        <v>3683097222</v>
      </c>
      <c r="C34" s="1255">
        <v>1370546555</v>
      </c>
      <c r="D34" s="1255">
        <v>138580483</v>
      </c>
      <c r="E34" s="1256" t="s">
        <v>296</v>
      </c>
      <c r="F34" s="1255" t="s">
        <v>296</v>
      </c>
      <c r="G34" s="1257" t="s">
        <v>296</v>
      </c>
      <c r="H34" s="1255">
        <v>23718000</v>
      </c>
      <c r="I34" s="1255">
        <v>3000783</v>
      </c>
      <c r="J34" s="1257">
        <v>5970694</v>
      </c>
    </row>
    <row r="35" spans="1:10" ht="14.25">
      <c r="A35" s="197" t="s">
        <v>36</v>
      </c>
      <c r="B35" s="1255">
        <v>1471675000</v>
      </c>
      <c r="C35" s="1255">
        <v>0</v>
      </c>
      <c r="D35" s="1255">
        <v>662253750</v>
      </c>
      <c r="E35" s="1256">
        <v>112923000</v>
      </c>
      <c r="F35" s="1255">
        <v>0</v>
      </c>
      <c r="G35" s="1257">
        <v>50815350</v>
      </c>
      <c r="H35" s="1255">
        <v>79569000</v>
      </c>
      <c r="I35" s="1255">
        <v>0</v>
      </c>
      <c r="J35" s="1257">
        <v>35806050</v>
      </c>
    </row>
    <row r="36" spans="1:10" ht="14.25">
      <c r="A36" s="197"/>
      <c r="B36" s="1255"/>
      <c r="C36" s="1255"/>
      <c r="D36" s="1255"/>
      <c r="E36" s="1256"/>
      <c r="F36" s="1255"/>
      <c r="G36" s="1257"/>
      <c r="H36" s="1255"/>
      <c r="I36" s="1255"/>
      <c r="J36" s="1257"/>
    </row>
    <row r="37" spans="1:10" ht="15">
      <c r="A37" s="190" t="s">
        <v>289</v>
      </c>
      <c r="B37" s="1252">
        <v>34320913731</v>
      </c>
      <c r="C37" s="1252">
        <v>13595381606</v>
      </c>
      <c r="D37" s="1252">
        <v>146518200</v>
      </c>
      <c r="E37" s="1253">
        <v>721136054</v>
      </c>
      <c r="F37" s="1252">
        <v>288332793</v>
      </c>
      <c r="G37" s="1254">
        <v>0</v>
      </c>
      <c r="H37" s="1252">
        <v>2316313000</v>
      </c>
      <c r="I37" s="1252">
        <v>792235738</v>
      </c>
      <c r="J37" s="1254">
        <v>77585238</v>
      </c>
    </row>
    <row r="38" spans="1:10" ht="14.25">
      <c r="A38" s="197" t="s">
        <v>34</v>
      </c>
      <c r="B38" s="1255">
        <v>32196196843</v>
      </c>
      <c r="C38" s="1255">
        <v>12875380587</v>
      </c>
      <c r="D38" s="1255">
        <v>0</v>
      </c>
      <c r="E38" s="1256">
        <v>721136054</v>
      </c>
      <c r="F38" s="1255">
        <v>288332793</v>
      </c>
      <c r="G38" s="1257">
        <v>0</v>
      </c>
      <c r="H38" s="1255">
        <v>2070886000</v>
      </c>
      <c r="I38" s="1255">
        <v>769280435</v>
      </c>
      <c r="J38" s="1257">
        <v>0</v>
      </c>
    </row>
    <row r="39" spans="1:10" ht="14.25">
      <c r="A39" s="197" t="s">
        <v>279</v>
      </c>
      <c r="B39" s="1255">
        <v>2124716888</v>
      </c>
      <c r="C39" s="1255">
        <v>720001019</v>
      </c>
      <c r="D39" s="1255">
        <v>146518200</v>
      </c>
      <c r="E39" s="1256" t="s">
        <v>296</v>
      </c>
      <c r="F39" s="1255" t="s">
        <v>296</v>
      </c>
      <c r="G39" s="1257" t="s">
        <v>296</v>
      </c>
      <c r="H39" s="1255">
        <v>164328000</v>
      </c>
      <c r="I39" s="1255">
        <v>22955303</v>
      </c>
      <c r="J39" s="1257">
        <v>41090688</v>
      </c>
    </row>
    <row r="40" spans="1:10" ht="14.25">
      <c r="A40" s="197" t="s">
        <v>36</v>
      </c>
      <c r="B40" s="1255" t="s">
        <v>296</v>
      </c>
      <c r="C40" s="1255" t="s">
        <v>296</v>
      </c>
      <c r="D40" s="1255" t="s">
        <v>296</v>
      </c>
      <c r="E40" s="1256" t="s">
        <v>296</v>
      </c>
      <c r="F40" s="1255" t="s">
        <v>296</v>
      </c>
      <c r="G40" s="1257" t="s">
        <v>296</v>
      </c>
      <c r="H40" s="1255">
        <v>81099000</v>
      </c>
      <c r="I40" s="1255">
        <v>0</v>
      </c>
      <c r="J40" s="1257">
        <v>36494550</v>
      </c>
    </row>
    <row r="41" spans="1:10" ht="14.25">
      <c r="A41" s="197"/>
      <c r="B41" s="1255"/>
      <c r="C41" s="1255"/>
      <c r="D41" s="1255"/>
      <c r="E41" s="1256"/>
      <c r="F41" s="1255"/>
      <c r="G41" s="1257"/>
      <c r="H41" s="1255"/>
      <c r="I41" s="1255"/>
      <c r="J41" s="1257"/>
    </row>
    <row r="42" spans="1:10" ht="15">
      <c r="A42" s="190" t="s">
        <v>122</v>
      </c>
      <c r="B42" s="1255"/>
      <c r="C42" s="1255"/>
      <c r="D42" s="1255"/>
      <c r="E42" s="1256"/>
      <c r="F42" s="1255"/>
      <c r="G42" s="1257"/>
      <c r="H42" s="1255"/>
      <c r="I42" s="1255"/>
      <c r="J42" s="1257"/>
    </row>
    <row r="43" spans="1:10" ht="14.25">
      <c r="A43" s="197"/>
      <c r="B43" s="1255"/>
      <c r="C43" s="1255"/>
      <c r="D43" s="1255"/>
      <c r="E43" s="1256"/>
      <c r="F43" s="1255"/>
      <c r="G43" s="1257"/>
      <c r="H43" s="1255"/>
      <c r="I43" s="1255"/>
      <c r="J43" s="1257"/>
    </row>
    <row r="44" spans="1:10" ht="15">
      <c r="A44" s="190" t="s">
        <v>290</v>
      </c>
      <c r="B44" s="1252">
        <v>1288599000</v>
      </c>
      <c r="C44" s="1252">
        <v>193576145</v>
      </c>
      <c r="D44" s="1252">
        <v>366317550</v>
      </c>
      <c r="E44" s="1253">
        <v>500244000</v>
      </c>
      <c r="F44" s="1252">
        <v>139246210</v>
      </c>
      <c r="G44" s="1254">
        <v>59505765</v>
      </c>
      <c r="H44" s="1252">
        <v>669070045</v>
      </c>
      <c r="I44" s="1252">
        <v>165790141</v>
      </c>
      <c r="J44" s="1254">
        <v>96704910</v>
      </c>
    </row>
    <row r="45" spans="1:10" ht="14.25">
      <c r="A45" s="197" t="s">
        <v>34</v>
      </c>
      <c r="B45" s="1255">
        <v>348887000</v>
      </c>
      <c r="C45" s="1255">
        <v>137023295</v>
      </c>
      <c r="D45" s="1255">
        <v>0</v>
      </c>
      <c r="E45" s="1256">
        <v>316673000</v>
      </c>
      <c r="F45" s="1255">
        <v>120058959</v>
      </c>
      <c r="G45" s="1257">
        <v>0</v>
      </c>
      <c r="H45" s="1255">
        <v>287724045</v>
      </c>
      <c r="I45" s="1255">
        <v>109747121</v>
      </c>
      <c r="J45" s="1257">
        <v>0</v>
      </c>
    </row>
    <row r="46" spans="1:10" ht="14.25">
      <c r="A46" s="197" t="s">
        <v>279</v>
      </c>
      <c r="B46" s="1255">
        <v>128513000</v>
      </c>
      <c r="C46" s="1255">
        <v>56552850</v>
      </c>
      <c r="D46" s="1255">
        <v>1278000</v>
      </c>
      <c r="E46" s="1256">
        <v>83544000</v>
      </c>
      <c r="F46" s="1255">
        <v>19187251</v>
      </c>
      <c r="G46" s="1257">
        <v>14493615</v>
      </c>
      <c r="H46" s="1255">
        <v>261981000</v>
      </c>
      <c r="I46" s="1255">
        <v>56043020</v>
      </c>
      <c r="J46" s="1257">
        <v>42990660</v>
      </c>
    </row>
    <row r="47" spans="1:10" ht="14.25">
      <c r="A47" s="204" t="s">
        <v>36</v>
      </c>
      <c r="B47" s="1258">
        <v>811199000</v>
      </c>
      <c r="C47" s="1258">
        <v>0</v>
      </c>
      <c r="D47" s="1258">
        <v>365039550</v>
      </c>
      <c r="E47" s="1259">
        <v>100027000</v>
      </c>
      <c r="F47" s="1258">
        <v>0</v>
      </c>
      <c r="G47" s="1260">
        <v>45012150</v>
      </c>
      <c r="H47" s="1258">
        <v>119365000</v>
      </c>
      <c r="I47" s="1258">
        <v>0</v>
      </c>
      <c r="J47" s="1260">
        <v>53714250</v>
      </c>
    </row>
    <row r="49" spans="1:1">
      <c r="A49" s="208" t="s">
        <v>249</v>
      </c>
    </row>
  </sheetData>
  <mergeCells count="7">
    <mergeCell ref="A1:J1"/>
    <mergeCell ref="A2:J2"/>
    <mergeCell ref="A3:J3"/>
    <mergeCell ref="A4:J4"/>
    <mergeCell ref="B7:D7"/>
    <mergeCell ref="E7:G7"/>
    <mergeCell ref="H7:J7"/>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2:O17"/>
  <sheetViews>
    <sheetView showGridLines="0" workbookViewId="0"/>
  </sheetViews>
  <sheetFormatPr defaultColWidth="10.28515625" defaultRowHeight="15"/>
  <cols>
    <col min="1" max="1" width="10.28515625" style="37"/>
    <col min="2" max="2" width="3.28515625" style="37" customWidth="1"/>
    <col min="3" max="3" width="22" style="37" customWidth="1"/>
    <col min="4" max="7" width="11.5703125" style="37" bestFit="1" customWidth="1"/>
    <col min="8" max="10" width="10.28515625" style="37"/>
    <col min="11" max="11" width="17.28515625" style="37" bestFit="1" customWidth="1"/>
    <col min="12" max="16384" width="10.28515625" style="37"/>
  </cols>
  <sheetData>
    <row r="2" spans="2:15" ht="18">
      <c r="B2" s="1035" t="s">
        <v>298</v>
      </c>
      <c r="C2" s="1035"/>
      <c r="D2" s="1035"/>
      <c r="E2" s="1035"/>
      <c r="F2" s="1035"/>
      <c r="G2" s="1035"/>
    </row>
    <row r="3" spans="2:15" ht="18">
      <c r="B3" s="1035" t="s">
        <v>299</v>
      </c>
      <c r="C3" s="1035"/>
      <c r="D3" s="1035"/>
      <c r="E3" s="1035"/>
      <c r="F3" s="1035"/>
      <c r="G3" s="1035"/>
    </row>
    <row r="5" spans="2:15" ht="15.75">
      <c r="B5" s="416"/>
      <c r="C5" s="417"/>
      <c r="D5" s="418" t="s">
        <v>300</v>
      </c>
      <c r="E5" s="418" t="s">
        <v>301</v>
      </c>
      <c r="F5" s="418" t="s">
        <v>302</v>
      </c>
      <c r="G5" s="419" t="s">
        <v>303</v>
      </c>
    </row>
    <row r="6" spans="2:15" ht="15.75">
      <c r="B6" s="303"/>
      <c r="C6" s="420"/>
      <c r="D6" s="421"/>
      <c r="E6" s="421"/>
      <c r="F6" s="421"/>
      <c r="G6" s="422"/>
    </row>
    <row r="7" spans="2:15" ht="15.75">
      <c r="B7" s="423" t="s">
        <v>304</v>
      </c>
      <c r="C7" s="420"/>
      <c r="D7" s="420"/>
      <c r="E7" s="420"/>
      <c r="F7" s="420"/>
      <c r="G7" s="424"/>
    </row>
    <row r="8" spans="2:15" ht="15.75">
      <c r="B8" s="423"/>
      <c r="C8" s="420" t="s">
        <v>305</v>
      </c>
      <c r="D8" s="425">
        <v>2812</v>
      </c>
      <c r="E8" s="425">
        <v>3065</v>
      </c>
      <c r="F8" s="425">
        <v>3526</v>
      </c>
      <c r="G8" s="426">
        <v>3342</v>
      </c>
      <c r="I8" s="70"/>
      <c r="J8" s="70"/>
      <c r="K8" s="70"/>
      <c r="L8" s="70"/>
      <c r="M8" s="70"/>
      <c r="N8" s="70"/>
      <c r="O8" s="70"/>
    </row>
    <row r="9" spans="2:15" ht="15.75">
      <c r="B9" s="423"/>
      <c r="C9" s="420" t="s">
        <v>306</v>
      </c>
      <c r="D9" s="427">
        <v>457500</v>
      </c>
      <c r="E9" s="427">
        <v>460000</v>
      </c>
      <c r="F9" s="427">
        <v>485000</v>
      </c>
      <c r="G9" s="428">
        <v>495000</v>
      </c>
      <c r="I9" s="70"/>
      <c r="J9" s="70"/>
      <c r="K9" s="70"/>
      <c r="L9" s="70"/>
      <c r="M9" s="70"/>
      <c r="N9" s="70"/>
      <c r="O9" s="70"/>
    </row>
    <row r="10" spans="2:15" ht="15.75">
      <c r="B10" s="423"/>
      <c r="C10" s="420"/>
      <c r="D10" s="427"/>
      <c r="E10" s="427"/>
      <c r="F10" s="427"/>
      <c r="G10" s="428"/>
      <c r="I10" s="70"/>
      <c r="J10" s="70"/>
      <c r="K10" s="70"/>
      <c r="L10" s="70"/>
      <c r="M10" s="70"/>
      <c r="N10" s="70"/>
      <c r="O10" s="70"/>
    </row>
    <row r="11" spans="2:15" ht="15.75">
      <c r="B11" s="423" t="s">
        <v>307</v>
      </c>
      <c r="C11" s="420"/>
      <c r="D11" s="429"/>
      <c r="E11" s="429"/>
      <c r="F11" s="429"/>
      <c r="G11" s="430"/>
      <c r="I11" s="70"/>
      <c r="J11" s="70"/>
      <c r="K11" s="70"/>
      <c r="L11" s="431"/>
    </row>
    <row r="12" spans="2:15" ht="15.75">
      <c r="B12" s="423"/>
      <c r="C12" s="420" t="s">
        <v>305</v>
      </c>
      <c r="D12" s="425">
        <v>2415</v>
      </c>
      <c r="E12" s="425">
        <v>2429</v>
      </c>
      <c r="F12" s="425">
        <v>2489</v>
      </c>
      <c r="G12" s="426">
        <v>2549</v>
      </c>
      <c r="I12" s="70"/>
      <c r="J12" s="70"/>
      <c r="K12" s="70"/>
      <c r="L12" s="431"/>
    </row>
    <row r="13" spans="2:15" ht="15.75">
      <c r="B13" s="423"/>
      <c r="C13" s="420" t="s">
        <v>306</v>
      </c>
      <c r="D13" s="427">
        <v>591962</v>
      </c>
      <c r="E13" s="427">
        <v>580000</v>
      </c>
      <c r="F13" s="427">
        <v>617000</v>
      </c>
      <c r="G13" s="428">
        <v>630000</v>
      </c>
      <c r="I13" s="70"/>
      <c r="J13" s="70"/>
      <c r="K13" s="70"/>
      <c r="L13" s="431"/>
    </row>
    <row r="14" spans="2:15" ht="15.75">
      <c r="B14" s="423"/>
      <c r="C14" s="420"/>
      <c r="D14" s="427"/>
      <c r="E14" s="427"/>
      <c r="F14" s="427"/>
      <c r="G14" s="428"/>
      <c r="I14" s="70"/>
      <c r="J14" s="70"/>
      <c r="K14" s="70"/>
      <c r="L14" s="431"/>
    </row>
    <row r="15" spans="2:15" ht="15.75">
      <c r="B15" s="423" t="s">
        <v>308</v>
      </c>
      <c r="C15" s="420"/>
      <c r="D15" s="429"/>
      <c r="E15" s="429"/>
      <c r="F15" s="429"/>
      <c r="G15" s="430"/>
      <c r="I15" s="70"/>
      <c r="J15" s="70"/>
      <c r="K15" s="70"/>
      <c r="L15" s="431"/>
    </row>
    <row r="16" spans="2:15" ht="15.75">
      <c r="B16" s="303"/>
      <c r="C16" s="420" t="s">
        <v>305</v>
      </c>
      <c r="D16" s="420">
        <v>655</v>
      </c>
      <c r="E16" s="420">
        <v>668</v>
      </c>
      <c r="F16" s="420">
        <v>639</v>
      </c>
      <c r="G16" s="424">
        <v>587</v>
      </c>
      <c r="I16" s="70"/>
      <c r="J16" s="70"/>
      <c r="K16" s="70"/>
      <c r="L16" s="70"/>
    </row>
    <row r="17" spans="2:12" ht="15.75">
      <c r="B17" s="432"/>
      <c r="C17" s="433" t="s">
        <v>306</v>
      </c>
      <c r="D17" s="434">
        <v>700000</v>
      </c>
      <c r="E17" s="434">
        <v>737507</v>
      </c>
      <c r="F17" s="434">
        <v>780500</v>
      </c>
      <c r="G17" s="435">
        <v>746000</v>
      </c>
      <c r="I17" s="70"/>
      <c r="J17" s="70"/>
      <c r="K17" s="70"/>
      <c r="L17" s="431"/>
    </row>
  </sheetData>
  <mergeCells count="2">
    <mergeCell ref="B2:G2"/>
    <mergeCell ref="B3:G3"/>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3:T44"/>
  <sheetViews>
    <sheetView showGridLines="0" workbookViewId="0"/>
  </sheetViews>
  <sheetFormatPr defaultRowHeight="14.45" customHeight="1"/>
  <cols>
    <col min="2" max="2" width="12" customWidth="1"/>
    <col min="3" max="3" width="13.28515625" customWidth="1"/>
    <col min="4" max="5" width="11.5703125" bestFit="1" customWidth="1"/>
    <col min="6" max="6" width="11.5703125" customWidth="1"/>
    <col min="7" max="7" width="13" bestFit="1" customWidth="1"/>
  </cols>
  <sheetData>
    <row r="3" spans="2:20" ht="14.45" customHeight="1">
      <c r="B3" s="1036" t="s">
        <v>309</v>
      </c>
      <c r="C3" s="1036"/>
      <c r="D3" s="1036"/>
      <c r="E3" s="1036"/>
      <c r="F3" s="1036"/>
      <c r="G3" s="1036"/>
    </row>
    <row r="4" spans="2:20" ht="14.45" customHeight="1">
      <c r="B4" s="1014" t="s">
        <v>271</v>
      </c>
      <c r="C4" s="1014"/>
      <c r="D4" s="1014"/>
      <c r="E4" s="1014"/>
      <c r="F4" s="1014"/>
      <c r="G4" s="1014"/>
    </row>
    <row r="5" spans="2:20" ht="14.45" customHeight="1">
      <c r="B5" s="359"/>
      <c r="C5" s="359"/>
      <c r="D5" s="359"/>
      <c r="E5" s="359"/>
      <c r="F5" s="359"/>
      <c r="G5" s="359"/>
    </row>
    <row r="6" spans="2:20" ht="14.45" customHeight="1">
      <c r="B6" s="1037" t="s">
        <v>310</v>
      </c>
      <c r="C6" s="1037"/>
      <c r="D6" s="1037"/>
      <c r="E6" s="1037"/>
      <c r="F6" s="1037"/>
      <c r="G6" s="1037"/>
    </row>
    <row r="7" spans="2:20" ht="14.45" customHeight="1">
      <c r="B7" s="436" t="s">
        <v>311</v>
      </c>
      <c r="C7" s="437" t="s">
        <v>42</v>
      </c>
      <c r="D7" s="438" t="s">
        <v>43</v>
      </c>
      <c r="E7" s="438" t="s">
        <v>44</v>
      </c>
      <c r="F7" s="438" t="s">
        <v>45</v>
      </c>
      <c r="G7" s="439" t="s">
        <v>46</v>
      </c>
      <c r="J7" s="440"/>
      <c r="K7" s="440"/>
      <c r="L7" s="440"/>
      <c r="M7" s="440"/>
      <c r="N7" s="440"/>
      <c r="O7" s="440"/>
      <c r="P7" s="440"/>
      <c r="Q7" s="440"/>
      <c r="R7" s="440"/>
      <c r="S7" s="440"/>
      <c r="T7" s="440"/>
    </row>
    <row r="8" spans="2:20" ht="14.45" customHeight="1">
      <c r="B8" s="445">
        <v>2000</v>
      </c>
      <c r="C8" s="442">
        <v>82</v>
      </c>
      <c r="D8" s="443">
        <v>1153</v>
      </c>
      <c r="E8" s="443">
        <v>3008</v>
      </c>
      <c r="F8" s="443">
        <v>8128</v>
      </c>
      <c r="G8" s="444">
        <v>4466</v>
      </c>
      <c r="J8" s="440"/>
      <c r="K8" s="440"/>
      <c r="L8" s="446"/>
      <c r="M8" s="446"/>
      <c r="N8" s="446"/>
      <c r="O8" s="446"/>
      <c r="P8" s="446"/>
      <c r="Q8" s="446"/>
      <c r="R8" s="446"/>
      <c r="S8" s="446"/>
      <c r="T8" s="446"/>
    </row>
    <row r="9" spans="2:20" ht="14.45" customHeight="1">
      <c r="B9" s="445">
        <v>2001</v>
      </c>
      <c r="C9" s="442">
        <v>54</v>
      </c>
      <c r="D9" s="443">
        <v>1090</v>
      </c>
      <c r="E9" s="443">
        <v>2714</v>
      </c>
      <c r="F9" s="443">
        <v>8180</v>
      </c>
      <c r="G9" s="444">
        <v>4623</v>
      </c>
      <c r="J9" s="440"/>
      <c r="K9" s="440"/>
      <c r="L9" s="446"/>
      <c r="M9" s="446"/>
      <c r="N9" s="446"/>
      <c r="O9" s="446"/>
      <c r="P9" s="446"/>
      <c r="Q9" s="446"/>
      <c r="R9" s="446"/>
      <c r="S9" s="446"/>
      <c r="T9" s="446"/>
    </row>
    <row r="10" spans="2:20" ht="14.45" customHeight="1">
      <c r="B10" s="445">
        <v>2002</v>
      </c>
      <c r="C10" s="442">
        <v>78</v>
      </c>
      <c r="D10" s="443">
        <v>1119</v>
      </c>
      <c r="E10" s="443">
        <v>3033</v>
      </c>
      <c r="F10" s="443">
        <v>8659</v>
      </c>
      <c r="G10" s="444">
        <v>4836</v>
      </c>
      <c r="J10" s="440"/>
      <c r="K10" s="440"/>
      <c r="L10" s="446"/>
      <c r="M10" s="446"/>
      <c r="N10" s="446"/>
      <c r="O10" s="446"/>
      <c r="P10" s="446"/>
      <c r="Q10" s="446"/>
      <c r="R10" s="446"/>
      <c r="S10" s="446"/>
      <c r="T10" s="446"/>
    </row>
    <row r="11" spans="2:20" ht="14.45" customHeight="1">
      <c r="B11" s="445">
        <v>2003</v>
      </c>
      <c r="C11" s="442">
        <v>73</v>
      </c>
      <c r="D11" s="443">
        <v>1161</v>
      </c>
      <c r="E11" s="443">
        <v>2850</v>
      </c>
      <c r="F11" s="443">
        <v>8587</v>
      </c>
      <c r="G11" s="444">
        <v>4816</v>
      </c>
      <c r="J11" s="440"/>
      <c r="K11" s="440"/>
      <c r="L11" s="446"/>
      <c r="M11" s="446"/>
      <c r="N11" s="446"/>
      <c r="O11" s="446"/>
      <c r="P11" s="446"/>
      <c r="Q11" s="446"/>
      <c r="R11" s="446"/>
      <c r="S11" s="446"/>
      <c r="T11" s="446"/>
    </row>
    <row r="12" spans="2:20" ht="14.45" customHeight="1">
      <c r="B12" s="445">
        <v>2004</v>
      </c>
      <c r="C12" s="442">
        <v>83</v>
      </c>
      <c r="D12" s="443">
        <v>1404</v>
      </c>
      <c r="E12" s="443">
        <v>3192</v>
      </c>
      <c r="F12" s="443">
        <v>9346</v>
      </c>
      <c r="G12" s="444">
        <v>4613</v>
      </c>
      <c r="J12" s="440"/>
      <c r="K12" s="440"/>
      <c r="L12" s="446"/>
      <c r="M12" s="446"/>
      <c r="N12" s="446"/>
      <c r="O12" s="446"/>
      <c r="P12" s="446"/>
      <c r="Q12" s="446"/>
      <c r="R12" s="446"/>
      <c r="S12" s="446"/>
      <c r="T12" s="446"/>
    </row>
    <row r="13" spans="2:20" ht="14.45" customHeight="1">
      <c r="B13" s="445">
        <v>2005</v>
      </c>
      <c r="C13" s="443">
        <v>70</v>
      </c>
      <c r="D13" s="443">
        <v>1279</v>
      </c>
      <c r="E13" s="443">
        <v>2961</v>
      </c>
      <c r="F13" s="443">
        <v>8965</v>
      </c>
      <c r="G13" s="444">
        <v>4204</v>
      </c>
      <c r="J13" s="440"/>
      <c r="K13" s="440"/>
      <c r="L13" s="446"/>
      <c r="M13" s="446"/>
      <c r="N13" s="446"/>
      <c r="O13" s="446"/>
      <c r="P13" s="446"/>
      <c r="Q13" s="446"/>
      <c r="R13" s="446"/>
      <c r="S13" s="446"/>
      <c r="T13" s="446"/>
    </row>
    <row r="14" spans="2:20" ht="14.45" customHeight="1">
      <c r="B14" s="445">
        <v>2006</v>
      </c>
      <c r="C14" s="443">
        <v>80</v>
      </c>
      <c r="D14" s="443">
        <v>1247</v>
      </c>
      <c r="E14" s="443">
        <v>2522</v>
      </c>
      <c r="F14" s="443">
        <v>8235</v>
      </c>
      <c r="G14" s="444">
        <v>3464</v>
      </c>
      <c r="J14" s="440"/>
      <c r="K14" s="440"/>
      <c r="L14" s="446"/>
      <c r="M14" s="446"/>
      <c r="N14" s="446"/>
      <c r="O14" s="446"/>
      <c r="P14" s="446"/>
      <c r="Q14" s="446"/>
      <c r="R14" s="446"/>
      <c r="S14" s="446"/>
      <c r="T14" s="446"/>
    </row>
    <row r="15" spans="2:20" ht="14.45" customHeight="1">
      <c r="B15" s="445">
        <v>2007</v>
      </c>
      <c r="C15" s="442">
        <v>92</v>
      </c>
      <c r="D15" s="443">
        <v>893</v>
      </c>
      <c r="E15" s="443">
        <v>2128</v>
      </c>
      <c r="F15" s="443">
        <v>6628</v>
      </c>
      <c r="G15" s="444">
        <v>2934</v>
      </c>
      <c r="J15" s="440"/>
      <c r="K15" s="440"/>
      <c r="L15" s="446"/>
      <c r="M15" s="446"/>
      <c r="N15" s="446"/>
      <c r="O15" s="446"/>
      <c r="P15" s="446"/>
      <c r="Q15" s="446"/>
      <c r="R15" s="446"/>
      <c r="S15" s="446"/>
      <c r="T15" s="446"/>
    </row>
    <row r="16" spans="2:20" ht="14.45" customHeight="1">
      <c r="B16" s="445">
        <v>2008</v>
      </c>
      <c r="C16" s="442">
        <v>57</v>
      </c>
      <c r="D16" s="443">
        <v>628</v>
      </c>
      <c r="E16" s="443">
        <v>1584</v>
      </c>
      <c r="F16" s="443">
        <v>5356</v>
      </c>
      <c r="G16" s="444">
        <v>2483</v>
      </c>
      <c r="J16" s="440"/>
      <c r="K16" s="440"/>
      <c r="L16" s="446"/>
      <c r="M16" s="440"/>
      <c r="N16" s="446"/>
      <c r="O16" s="446"/>
      <c r="P16" s="446"/>
      <c r="Q16" s="446"/>
      <c r="R16" s="446"/>
      <c r="S16" s="446"/>
      <c r="T16" s="446"/>
    </row>
    <row r="17" spans="2:20" ht="14.45" customHeight="1">
      <c r="B17" s="445">
        <v>2009</v>
      </c>
      <c r="C17" s="443">
        <v>51</v>
      </c>
      <c r="D17" s="443">
        <v>559</v>
      </c>
      <c r="E17" s="443">
        <v>1447</v>
      </c>
      <c r="F17" s="443">
        <v>5181</v>
      </c>
      <c r="G17" s="444">
        <v>2401</v>
      </c>
      <c r="J17" s="440"/>
      <c r="K17" s="440"/>
      <c r="L17" s="446"/>
      <c r="M17" s="440"/>
      <c r="N17" s="446"/>
      <c r="O17" s="446"/>
      <c r="P17" s="446"/>
      <c r="Q17" s="446"/>
      <c r="R17" s="446"/>
      <c r="S17" s="446"/>
      <c r="T17" s="446"/>
    </row>
    <row r="18" spans="2:20" ht="14.45" customHeight="1">
      <c r="B18" s="445">
        <v>2010</v>
      </c>
      <c r="C18" s="442">
        <v>90</v>
      </c>
      <c r="D18" s="443">
        <v>623</v>
      </c>
      <c r="E18" s="443">
        <v>1562</v>
      </c>
      <c r="F18" s="443">
        <v>5061</v>
      </c>
      <c r="G18" s="444">
        <v>2272</v>
      </c>
      <c r="J18" s="440"/>
      <c r="K18" s="440"/>
      <c r="L18" s="446"/>
      <c r="M18" s="440"/>
      <c r="N18" s="446"/>
      <c r="O18" s="446"/>
      <c r="P18" s="446"/>
      <c r="Q18" s="446"/>
      <c r="R18" s="446"/>
      <c r="S18" s="446"/>
      <c r="T18" s="446"/>
    </row>
    <row r="19" spans="2:20" ht="14.45" customHeight="1">
      <c r="B19" s="445">
        <v>2011</v>
      </c>
      <c r="C19" s="442">
        <v>67</v>
      </c>
      <c r="D19" s="443">
        <v>573</v>
      </c>
      <c r="E19" s="443">
        <v>1405</v>
      </c>
      <c r="F19" s="443">
        <v>4363</v>
      </c>
      <c r="G19" s="444">
        <v>1571</v>
      </c>
      <c r="J19" s="440"/>
      <c r="K19" s="440"/>
      <c r="L19" s="446"/>
      <c r="M19" s="440"/>
      <c r="N19" s="446"/>
      <c r="O19" s="446"/>
      <c r="P19" s="446"/>
      <c r="Q19" s="446"/>
      <c r="R19" s="446"/>
      <c r="S19" s="446"/>
      <c r="T19" s="446"/>
    </row>
    <row r="20" spans="2:20" ht="14.45" customHeight="1">
      <c r="B20" s="445">
        <v>2012</v>
      </c>
      <c r="C20" s="443">
        <v>112</v>
      </c>
      <c r="D20" s="443">
        <v>618</v>
      </c>
      <c r="E20" s="443">
        <v>1597</v>
      </c>
      <c r="F20" s="443">
        <v>4650</v>
      </c>
      <c r="G20" s="444">
        <v>2100</v>
      </c>
      <c r="J20" s="440"/>
      <c r="K20" s="440"/>
      <c r="L20" s="446"/>
      <c r="M20" s="440"/>
      <c r="N20" s="446"/>
      <c r="O20" s="446"/>
      <c r="P20" s="446"/>
      <c r="Q20" s="446"/>
      <c r="R20" s="446"/>
      <c r="S20" s="446"/>
      <c r="T20" s="446"/>
    </row>
    <row r="21" spans="2:20" ht="14.45" customHeight="1">
      <c r="B21" s="445">
        <v>2013</v>
      </c>
      <c r="C21" s="442">
        <v>95</v>
      </c>
      <c r="D21" s="443">
        <v>660</v>
      </c>
      <c r="E21" s="443">
        <v>1924</v>
      </c>
      <c r="F21" s="443">
        <v>5289</v>
      </c>
      <c r="G21" s="444">
        <v>2605</v>
      </c>
      <c r="J21" s="440"/>
      <c r="K21" s="440"/>
      <c r="L21" s="446"/>
      <c r="M21" s="440"/>
      <c r="N21" s="446"/>
      <c r="O21" s="446"/>
      <c r="P21" s="446"/>
      <c r="Q21" s="446"/>
      <c r="R21" s="446"/>
      <c r="S21" s="446"/>
      <c r="T21" s="446"/>
    </row>
    <row r="22" spans="2:20" ht="14.45" customHeight="1">
      <c r="B22" s="445">
        <v>2014</v>
      </c>
      <c r="C22" s="443">
        <v>92</v>
      </c>
      <c r="D22" s="443">
        <v>711</v>
      </c>
      <c r="E22" s="443">
        <v>1941</v>
      </c>
      <c r="F22" s="443">
        <v>5040</v>
      </c>
      <c r="G22" s="444">
        <v>2724</v>
      </c>
      <c r="H22" s="447"/>
      <c r="J22" s="440"/>
      <c r="K22" s="440"/>
      <c r="L22" s="446"/>
      <c r="M22" s="440"/>
      <c r="N22" s="446"/>
      <c r="O22" s="446"/>
      <c r="P22" s="446"/>
      <c r="Q22" s="446"/>
      <c r="R22" s="446"/>
      <c r="S22" s="446"/>
      <c r="T22" s="446"/>
    </row>
    <row r="23" spans="2:20" ht="14.45" customHeight="1">
      <c r="B23" s="445">
        <v>2015</v>
      </c>
      <c r="C23" s="443">
        <v>85</v>
      </c>
      <c r="D23" s="443">
        <v>890</v>
      </c>
      <c r="E23" s="443">
        <v>2145</v>
      </c>
      <c r="F23" s="443">
        <v>5688</v>
      </c>
      <c r="G23" s="444">
        <v>3270</v>
      </c>
      <c r="H23" s="447"/>
      <c r="J23" s="440"/>
      <c r="K23" s="440"/>
      <c r="L23" s="446"/>
      <c r="M23" s="440"/>
      <c r="N23" s="446"/>
      <c r="O23" s="446"/>
      <c r="P23" s="446"/>
      <c r="Q23" s="446"/>
      <c r="R23" s="446"/>
      <c r="S23" s="446"/>
      <c r="T23" s="446"/>
    </row>
    <row r="24" spans="2:20" ht="14.45" customHeight="1">
      <c r="B24" s="448">
        <v>2016</v>
      </c>
      <c r="C24" s="449">
        <v>83</v>
      </c>
      <c r="D24" s="450">
        <v>971</v>
      </c>
      <c r="E24" s="450">
        <v>2221</v>
      </c>
      <c r="F24" s="450">
        <v>5885</v>
      </c>
      <c r="G24" s="451">
        <v>3585</v>
      </c>
      <c r="H24" s="447"/>
      <c r="J24" s="440"/>
      <c r="K24" s="440"/>
      <c r="L24" s="446"/>
      <c r="M24" s="440"/>
      <c r="N24" s="446"/>
      <c r="O24" s="446"/>
      <c r="P24" s="446"/>
      <c r="Q24" s="446"/>
      <c r="R24" s="446"/>
      <c r="S24" s="446"/>
      <c r="T24" s="446"/>
    </row>
    <row r="25" spans="2:20" ht="14.45" customHeight="1">
      <c r="B25" s="452"/>
      <c r="C25" s="443"/>
      <c r="D25" s="443"/>
      <c r="E25" s="443"/>
      <c r="F25" s="443"/>
      <c r="G25" s="443"/>
      <c r="J25" s="440"/>
      <c r="K25" s="440"/>
      <c r="L25" s="446"/>
      <c r="M25" s="440"/>
      <c r="N25" s="446"/>
      <c r="O25" s="446"/>
      <c r="P25" s="446"/>
      <c r="Q25" s="446"/>
      <c r="R25" s="446"/>
      <c r="S25" s="446"/>
      <c r="T25" s="446"/>
    </row>
    <row r="26" spans="2:20" ht="14.45" customHeight="1">
      <c r="B26" s="1037" t="s">
        <v>306</v>
      </c>
      <c r="C26" s="1037"/>
      <c r="D26" s="1037"/>
      <c r="E26" s="1037"/>
      <c r="F26" s="1037"/>
      <c r="G26" s="1037"/>
    </row>
    <row r="27" spans="2:20" ht="14.45" customHeight="1">
      <c r="B27" s="437" t="s">
        <v>311</v>
      </c>
      <c r="C27" s="437" t="s">
        <v>42</v>
      </c>
      <c r="D27" s="438" t="s">
        <v>43</v>
      </c>
      <c r="E27" s="438" t="s">
        <v>44</v>
      </c>
      <c r="F27" s="438" t="s">
        <v>45</v>
      </c>
      <c r="G27" s="439" t="s">
        <v>46</v>
      </c>
    </row>
    <row r="28" spans="2:20" ht="14.45" customHeight="1">
      <c r="B28" s="360">
        <v>2000</v>
      </c>
      <c r="C28" s="453">
        <v>2570000</v>
      </c>
      <c r="D28" s="454">
        <v>185400</v>
      </c>
      <c r="E28" s="454">
        <v>220000</v>
      </c>
      <c r="F28" s="454">
        <v>214000</v>
      </c>
      <c r="G28" s="455">
        <v>198766.5</v>
      </c>
    </row>
    <row r="29" spans="2:20" ht="14.45" customHeight="1">
      <c r="B29" s="360">
        <v>2001</v>
      </c>
      <c r="C29" s="453">
        <v>1440000</v>
      </c>
      <c r="D29" s="454">
        <v>200595</v>
      </c>
      <c r="E29" s="454">
        <v>245000</v>
      </c>
      <c r="F29" s="454">
        <v>239500</v>
      </c>
      <c r="G29" s="455">
        <v>230000</v>
      </c>
    </row>
    <row r="30" spans="2:20" ht="14.45" customHeight="1">
      <c r="B30" s="360">
        <v>2002</v>
      </c>
      <c r="C30" s="453">
        <v>1875000</v>
      </c>
      <c r="D30" s="454">
        <v>230000</v>
      </c>
      <c r="E30" s="454">
        <v>277500</v>
      </c>
      <c r="F30" s="454">
        <v>275000</v>
      </c>
      <c r="G30" s="455">
        <v>265000</v>
      </c>
    </row>
    <row r="31" spans="2:20" ht="14.45" customHeight="1">
      <c r="B31" s="360">
        <v>2003</v>
      </c>
      <c r="C31" s="453">
        <v>2575000</v>
      </c>
      <c r="D31" s="454">
        <v>260000</v>
      </c>
      <c r="E31" s="454">
        <v>325000</v>
      </c>
      <c r="F31" s="454">
        <v>325000</v>
      </c>
      <c r="G31" s="455">
        <v>304099</v>
      </c>
    </row>
    <row r="32" spans="2:20" ht="14.45" customHeight="1">
      <c r="B32" s="360">
        <v>2004</v>
      </c>
      <c r="C32" s="453">
        <v>2950000</v>
      </c>
      <c r="D32" s="454">
        <v>309000</v>
      </c>
      <c r="E32" s="454">
        <v>378000</v>
      </c>
      <c r="F32" s="454">
        <v>370000</v>
      </c>
      <c r="G32" s="455">
        <v>349900</v>
      </c>
    </row>
    <row r="33" spans="2:7" ht="14.45" customHeight="1">
      <c r="B33" s="445">
        <v>2005</v>
      </c>
      <c r="C33" s="454">
        <v>4268750</v>
      </c>
      <c r="D33" s="454">
        <v>355000</v>
      </c>
      <c r="E33" s="454">
        <v>450000</v>
      </c>
      <c r="F33" s="454">
        <v>445000</v>
      </c>
      <c r="G33" s="455">
        <v>395000</v>
      </c>
    </row>
    <row r="34" spans="2:7" ht="14.45" customHeight="1">
      <c r="B34" s="445">
        <v>2006</v>
      </c>
      <c r="C34" s="454">
        <v>4250000</v>
      </c>
      <c r="D34" s="454">
        <v>405000</v>
      </c>
      <c r="E34" s="454">
        <v>477000</v>
      </c>
      <c r="F34" s="454">
        <v>480000</v>
      </c>
      <c r="G34" s="455">
        <v>423000</v>
      </c>
    </row>
    <row r="35" spans="2:7" ht="14.45" customHeight="1">
      <c r="B35" s="456">
        <v>2007</v>
      </c>
      <c r="C35" s="457">
        <v>5305000</v>
      </c>
      <c r="D35" s="457">
        <v>418700</v>
      </c>
      <c r="E35" s="457">
        <v>518000</v>
      </c>
      <c r="F35" s="457">
        <v>500000</v>
      </c>
      <c r="G35" s="458">
        <v>419199</v>
      </c>
    </row>
    <row r="36" spans="2:7" ht="14.45" customHeight="1">
      <c r="B36" s="456">
        <v>2008</v>
      </c>
      <c r="C36" s="459">
        <v>5600000</v>
      </c>
      <c r="D36" s="457">
        <v>381800</v>
      </c>
      <c r="E36" s="457">
        <v>490000</v>
      </c>
      <c r="F36" s="457">
        <v>450750</v>
      </c>
      <c r="G36" s="458">
        <v>390000</v>
      </c>
    </row>
    <row r="37" spans="2:7" ht="14.45" customHeight="1">
      <c r="B37" s="456">
        <v>2009</v>
      </c>
      <c r="C37" s="459">
        <v>4900000</v>
      </c>
      <c r="D37" s="457">
        <v>340000</v>
      </c>
      <c r="E37" s="457">
        <v>450000</v>
      </c>
      <c r="F37" s="457">
        <v>404000</v>
      </c>
      <c r="G37" s="458">
        <v>365000</v>
      </c>
    </row>
    <row r="38" spans="2:7" ht="14.45" customHeight="1">
      <c r="B38" s="456">
        <v>2010</v>
      </c>
      <c r="C38" s="459">
        <v>5212500</v>
      </c>
      <c r="D38" s="457">
        <v>343750</v>
      </c>
      <c r="E38" s="457">
        <v>475000</v>
      </c>
      <c r="F38" s="457">
        <v>395000</v>
      </c>
      <c r="G38" s="458">
        <v>380000</v>
      </c>
    </row>
    <row r="39" spans="2:7" ht="14.45" customHeight="1">
      <c r="B39" s="445">
        <v>2011</v>
      </c>
      <c r="C39" s="460">
        <v>4600000</v>
      </c>
      <c r="D39" s="461">
        <v>330000</v>
      </c>
      <c r="E39" s="461">
        <v>471000</v>
      </c>
      <c r="F39" s="461">
        <v>395000</v>
      </c>
      <c r="G39" s="462">
        <v>375000</v>
      </c>
    </row>
    <row r="40" spans="2:7" ht="14.45" customHeight="1">
      <c r="B40" s="456">
        <v>2012</v>
      </c>
      <c r="C40" s="460">
        <v>6016479</v>
      </c>
      <c r="D40" s="461">
        <v>327000</v>
      </c>
      <c r="E40" s="461">
        <v>490000</v>
      </c>
      <c r="F40" s="461">
        <v>407517</v>
      </c>
      <c r="G40" s="462">
        <v>375000</v>
      </c>
    </row>
    <row r="41" spans="2:7" ht="14.45" customHeight="1">
      <c r="B41" s="456">
        <v>2013</v>
      </c>
      <c r="C41" s="460">
        <v>4750000</v>
      </c>
      <c r="D41" s="461">
        <v>341000</v>
      </c>
      <c r="E41" s="461">
        <v>495000</v>
      </c>
      <c r="F41" s="461">
        <v>440000</v>
      </c>
      <c r="G41" s="462">
        <v>380000</v>
      </c>
    </row>
    <row r="42" spans="2:7" ht="14.45" customHeight="1">
      <c r="B42" s="456">
        <v>2014</v>
      </c>
      <c r="C42" s="463">
        <v>6212500</v>
      </c>
      <c r="D42" s="464">
        <v>350000</v>
      </c>
      <c r="E42" s="464">
        <v>530000</v>
      </c>
      <c r="F42" s="464">
        <v>470000</v>
      </c>
      <c r="G42" s="465">
        <v>393000</v>
      </c>
    </row>
    <row r="43" spans="2:7" ht="14.45" customHeight="1">
      <c r="B43" s="456">
        <v>2015</v>
      </c>
      <c r="C43" s="463">
        <v>6000000</v>
      </c>
      <c r="D43" s="464">
        <v>363411</v>
      </c>
      <c r="E43" s="464">
        <v>595000</v>
      </c>
      <c r="F43" s="464">
        <v>481500</v>
      </c>
      <c r="G43" s="465">
        <v>401850</v>
      </c>
    </row>
    <row r="44" spans="2:7" ht="14.45" customHeight="1">
      <c r="B44" s="466">
        <v>2016</v>
      </c>
      <c r="C44" s="467">
        <v>7425000</v>
      </c>
      <c r="D44" s="468">
        <v>380000</v>
      </c>
      <c r="E44" s="468">
        <v>635000</v>
      </c>
      <c r="F44" s="468">
        <v>515000</v>
      </c>
      <c r="G44" s="469">
        <v>430000</v>
      </c>
    </row>
  </sheetData>
  <mergeCells count="4">
    <mergeCell ref="B3:G3"/>
    <mergeCell ref="B4:G4"/>
    <mergeCell ref="B6:G6"/>
    <mergeCell ref="B26:G26"/>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2:Q47"/>
  <sheetViews>
    <sheetView showGridLines="0" workbookViewId="0"/>
  </sheetViews>
  <sheetFormatPr defaultColWidth="10.28515625" defaultRowHeight="13.9" customHeight="1"/>
  <cols>
    <col min="1" max="1" width="10.28515625" style="225"/>
    <col min="2" max="2" width="8" style="225" customWidth="1"/>
    <col min="3" max="3" width="12" style="225" bestFit="1" customWidth="1"/>
    <col min="4" max="4" width="10.28515625" style="225"/>
    <col min="5" max="5" width="11.42578125" style="225" bestFit="1" customWidth="1"/>
    <col min="6" max="6" width="10.28515625" style="225"/>
    <col min="7" max="7" width="11.42578125" style="225" bestFit="1" customWidth="1"/>
    <col min="8" max="16384" width="10.28515625" style="225"/>
  </cols>
  <sheetData>
    <row r="2" spans="2:17" ht="13.9" customHeight="1">
      <c r="B2" s="1015" t="s">
        <v>312</v>
      </c>
      <c r="C2" s="1015"/>
      <c r="D2" s="1015"/>
      <c r="E2" s="1015"/>
      <c r="F2" s="1015"/>
      <c r="G2" s="1015"/>
      <c r="H2" s="1015"/>
    </row>
    <row r="3" spans="2:17" ht="13.9" customHeight="1">
      <c r="B3" s="1015" t="s">
        <v>313</v>
      </c>
      <c r="C3" s="1015"/>
      <c r="D3" s="1015"/>
      <c r="E3" s="1015"/>
      <c r="F3" s="1015"/>
      <c r="G3" s="1015"/>
      <c r="H3" s="1015"/>
    </row>
    <row r="4" spans="2:17" ht="13.9" customHeight="1">
      <c r="B4" s="470"/>
      <c r="C4" s="470"/>
      <c r="D4" s="470"/>
      <c r="E4" s="470"/>
      <c r="F4" s="470"/>
      <c r="G4" s="470"/>
      <c r="H4" s="470"/>
    </row>
    <row r="5" spans="2:17" ht="13.9" customHeight="1">
      <c r="B5" s="1038" t="s">
        <v>310</v>
      </c>
      <c r="C5" s="1038"/>
      <c r="D5" s="1038"/>
      <c r="E5" s="1038"/>
      <c r="F5" s="1038"/>
      <c r="G5" s="1038"/>
      <c r="H5" s="1038"/>
    </row>
    <row r="6" spans="2:17" ht="13.9" customHeight="1">
      <c r="B6" s="472"/>
      <c r="C6" s="1039" t="s">
        <v>314</v>
      </c>
      <c r="D6" s="1039"/>
      <c r="E6" s="1039" t="s">
        <v>315</v>
      </c>
      <c r="F6" s="1039"/>
      <c r="G6" s="1039" t="s">
        <v>316</v>
      </c>
      <c r="H6" s="1039"/>
      <c r="K6" s="440"/>
      <c r="L6" s="440"/>
      <c r="M6" s="440"/>
      <c r="N6" s="440"/>
      <c r="O6" s="440"/>
      <c r="P6" s="440"/>
      <c r="Q6" s="440"/>
    </row>
    <row r="7" spans="2:17" ht="13.9" customHeight="1">
      <c r="B7" s="445" t="s">
        <v>311</v>
      </c>
      <c r="C7" s="473" t="s">
        <v>144</v>
      </c>
      <c r="D7" s="474" t="s">
        <v>317</v>
      </c>
      <c r="E7" s="473" t="s">
        <v>144</v>
      </c>
      <c r="F7" s="474" t="s">
        <v>317</v>
      </c>
      <c r="G7" s="473" t="s">
        <v>144</v>
      </c>
      <c r="H7" s="474" t="s">
        <v>317</v>
      </c>
      <c r="K7" s="440"/>
      <c r="L7" s="440"/>
      <c r="M7" s="440"/>
      <c r="N7" s="440"/>
      <c r="O7" s="440"/>
      <c r="P7" s="440"/>
      <c r="Q7" s="440"/>
    </row>
    <row r="8" spans="2:17" ht="13.9" customHeight="1">
      <c r="B8" s="358"/>
      <c r="C8" s="358" t="s">
        <v>318</v>
      </c>
      <c r="D8" s="475" t="s">
        <v>319</v>
      </c>
      <c r="E8" s="358" t="s">
        <v>318</v>
      </c>
      <c r="F8" s="475" t="s">
        <v>319</v>
      </c>
      <c r="G8" s="358" t="s">
        <v>318</v>
      </c>
      <c r="H8" s="475" t="s">
        <v>319</v>
      </c>
      <c r="K8" s="440"/>
      <c r="L8" s="446"/>
      <c r="M8" s="446"/>
      <c r="N8" s="446"/>
      <c r="O8" s="446"/>
      <c r="P8" s="446"/>
      <c r="Q8" s="446"/>
    </row>
    <row r="9" spans="2:17" ht="13.9" customHeight="1">
      <c r="B9" s="360">
        <v>2000</v>
      </c>
      <c r="C9" s="476">
        <v>16837</v>
      </c>
      <c r="D9" s="477">
        <v>-9.7308599613982416E-2</v>
      </c>
      <c r="E9" s="476">
        <v>12724</v>
      </c>
      <c r="F9" s="477">
        <v>-7.272992275178547E-2</v>
      </c>
      <c r="G9" s="476">
        <v>3555</v>
      </c>
      <c r="H9" s="477">
        <v>-3.3967391304347783E-2</v>
      </c>
      <c r="K9" s="440"/>
      <c r="L9" s="446"/>
      <c r="M9" s="446"/>
      <c r="N9" s="446"/>
      <c r="O9" s="446"/>
      <c r="P9" s="446"/>
      <c r="Q9" s="446"/>
    </row>
    <row r="10" spans="2:17" ht="13.9" customHeight="1">
      <c r="B10" s="360">
        <v>2001</v>
      </c>
      <c r="C10" s="476">
        <v>16661</v>
      </c>
      <c r="D10" s="477">
        <v>-1.0453168616736952E-2</v>
      </c>
      <c r="E10" s="476">
        <v>12843</v>
      </c>
      <c r="F10" s="477">
        <v>9.3524049041182611E-3</v>
      </c>
      <c r="G10" s="476">
        <v>3380</v>
      </c>
      <c r="H10" s="477">
        <v>-4.9226441631504914E-2</v>
      </c>
      <c r="K10" s="440"/>
      <c r="L10" s="446"/>
      <c r="M10" s="446"/>
      <c r="N10" s="446"/>
      <c r="O10" s="446"/>
      <c r="P10" s="446"/>
      <c r="Q10" s="446"/>
    </row>
    <row r="11" spans="2:17" ht="13.9" customHeight="1">
      <c r="B11" s="360">
        <v>2002</v>
      </c>
      <c r="C11" s="476">
        <v>17725</v>
      </c>
      <c r="D11" s="477">
        <v>6.3861712982413943E-2</v>
      </c>
      <c r="E11" s="476">
        <v>13797</v>
      </c>
      <c r="F11" s="477">
        <v>7.4281709880869018E-2</v>
      </c>
      <c r="G11" s="476">
        <v>3569</v>
      </c>
      <c r="H11" s="477">
        <v>5.5917159763313684E-2</v>
      </c>
      <c r="K11" s="440"/>
      <c r="L11" s="446"/>
      <c r="M11" s="446"/>
      <c r="N11" s="446"/>
      <c r="O11" s="446"/>
      <c r="P11" s="446"/>
      <c r="Q11" s="446"/>
    </row>
    <row r="12" spans="2:17" ht="13.9" customHeight="1">
      <c r="B12" s="360">
        <v>2003</v>
      </c>
      <c r="C12" s="476">
        <v>17487</v>
      </c>
      <c r="D12" s="477">
        <v>-1.3427362482369531E-2</v>
      </c>
      <c r="E12" s="476">
        <v>13916</v>
      </c>
      <c r="F12" s="477">
        <v>8.6250634195839115E-3</v>
      </c>
      <c r="G12" s="476">
        <v>3626</v>
      </c>
      <c r="H12" s="477">
        <v>1.5970860184925773E-2</v>
      </c>
      <c r="K12" s="440"/>
      <c r="L12" s="446"/>
      <c r="M12" s="446"/>
      <c r="N12" s="446"/>
      <c r="O12" s="446"/>
      <c r="P12" s="446"/>
      <c r="Q12" s="446"/>
    </row>
    <row r="13" spans="2:17" ht="13.9" customHeight="1">
      <c r="B13" s="360">
        <v>2004</v>
      </c>
      <c r="C13" s="476">
        <v>18638</v>
      </c>
      <c r="D13" s="477">
        <v>6.582032366901136E-2</v>
      </c>
      <c r="E13" s="476">
        <v>15000</v>
      </c>
      <c r="F13" s="477">
        <v>7.7895947111238817E-2</v>
      </c>
      <c r="G13" s="476">
        <v>3897</v>
      </c>
      <c r="H13" s="477">
        <v>7.4738003309431811E-2</v>
      </c>
      <c r="J13" s="478"/>
      <c r="K13" s="440"/>
      <c r="L13" s="446"/>
      <c r="M13" s="446"/>
      <c r="N13" s="446"/>
      <c r="O13" s="446"/>
      <c r="P13" s="446"/>
      <c r="Q13" s="446"/>
    </row>
    <row r="14" spans="2:17" ht="13.9" customHeight="1">
      <c r="B14" s="445">
        <v>2005</v>
      </c>
      <c r="C14" s="476">
        <v>17479</v>
      </c>
      <c r="D14" s="477">
        <v>-6.2184783775083186E-2</v>
      </c>
      <c r="E14" s="476">
        <v>14797</v>
      </c>
      <c r="F14" s="477">
        <v>-1.3533333333333286E-2</v>
      </c>
      <c r="G14" s="476">
        <v>4042</v>
      </c>
      <c r="H14" s="477">
        <v>3.720810880164227E-2</v>
      </c>
      <c r="K14" s="440"/>
      <c r="L14" s="446"/>
      <c r="M14" s="446"/>
      <c r="N14" s="446"/>
      <c r="O14" s="446"/>
      <c r="P14" s="446"/>
      <c r="Q14" s="446"/>
    </row>
    <row r="15" spans="2:17" ht="13.9" customHeight="1">
      <c r="B15" s="445">
        <v>2006</v>
      </c>
      <c r="C15" s="476">
        <v>15548</v>
      </c>
      <c r="D15" s="479">
        <v>-0.11047542765604434</v>
      </c>
      <c r="E15" s="476">
        <v>14089</v>
      </c>
      <c r="F15" s="479">
        <v>-4.7847536662837031E-2</v>
      </c>
      <c r="G15" s="476">
        <v>4202</v>
      </c>
      <c r="H15" s="479">
        <v>3.9584364176150411E-2</v>
      </c>
      <c r="K15" s="440"/>
      <c r="L15" s="446"/>
      <c r="M15" s="446"/>
      <c r="N15" s="446"/>
      <c r="O15" s="446"/>
      <c r="P15" s="446"/>
      <c r="Q15" s="446"/>
    </row>
    <row r="16" spans="2:17" ht="13.9" customHeight="1">
      <c r="B16" s="360">
        <v>2007</v>
      </c>
      <c r="C16" s="476">
        <v>12675</v>
      </c>
      <c r="D16" s="479">
        <v>-0.18478260869565222</v>
      </c>
      <c r="E16" s="443">
        <v>10375</v>
      </c>
      <c r="F16" s="479">
        <v>-0.26360990843920784</v>
      </c>
      <c r="G16" s="443">
        <v>3184</v>
      </c>
      <c r="H16" s="479">
        <v>-0.24226558781532603</v>
      </c>
      <c r="K16" s="440"/>
      <c r="L16" s="446"/>
      <c r="M16" s="446"/>
      <c r="N16" s="446"/>
      <c r="O16" s="446"/>
      <c r="P16" s="446"/>
      <c r="Q16" s="446"/>
    </row>
    <row r="17" spans="2:17" ht="13.9" customHeight="1">
      <c r="B17" s="445">
        <v>2008</v>
      </c>
      <c r="C17" s="476">
        <v>10108</v>
      </c>
      <c r="D17" s="479">
        <v>-0.20252465483234716</v>
      </c>
      <c r="E17" s="476">
        <v>8532</v>
      </c>
      <c r="F17" s="479">
        <v>-0.17763855421686747</v>
      </c>
      <c r="G17" s="480">
        <v>2465</v>
      </c>
      <c r="H17" s="479">
        <v>-0.22581658291457285</v>
      </c>
      <c r="K17" s="440"/>
      <c r="L17" s="446"/>
      <c r="M17" s="446"/>
      <c r="N17" s="446"/>
      <c r="O17" s="446"/>
      <c r="P17" s="446"/>
      <c r="Q17" s="446"/>
    </row>
    <row r="18" spans="2:17" ht="13.9" customHeight="1">
      <c r="B18" s="445">
        <v>2009</v>
      </c>
      <c r="C18" s="476">
        <v>9639</v>
      </c>
      <c r="D18" s="479">
        <v>-4.6398891966758948E-2</v>
      </c>
      <c r="E18" s="476">
        <v>7971</v>
      </c>
      <c r="F18" s="479">
        <v>-6.5752461322081568E-2</v>
      </c>
      <c r="G18" s="480">
        <v>1956</v>
      </c>
      <c r="H18" s="479">
        <v>-0.2064908722109533</v>
      </c>
      <c r="K18" s="440"/>
      <c r="L18" s="446"/>
      <c r="M18" s="446"/>
      <c r="N18" s="446"/>
      <c r="O18" s="446"/>
      <c r="P18" s="446"/>
      <c r="Q18" s="446"/>
    </row>
    <row r="19" spans="2:17" ht="13.9" customHeight="1">
      <c r="B19" s="445">
        <v>2010</v>
      </c>
      <c r="C19" s="442">
        <v>9608</v>
      </c>
      <c r="D19" s="479">
        <v>-3.2161012553169055E-3</v>
      </c>
      <c r="E19" s="443">
        <v>7908</v>
      </c>
      <c r="F19" s="479">
        <v>-7.9036507339104167E-3</v>
      </c>
      <c r="G19" s="443">
        <v>2071</v>
      </c>
      <c r="H19" s="479">
        <v>5.8793456032719904E-2</v>
      </c>
      <c r="K19" s="440"/>
      <c r="L19" s="446"/>
      <c r="M19" s="446"/>
      <c r="N19" s="446"/>
      <c r="O19" s="446"/>
      <c r="P19" s="446"/>
      <c r="Q19" s="446"/>
    </row>
    <row r="20" spans="2:17" ht="13.9" customHeight="1">
      <c r="B20" s="445">
        <v>2011</v>
      </c>
      <c r="C20" s="443">
        <v>7979</v>
      </c>
      <c r="D20" s="479">
        <v>-0.16954621149042459</v>
      </c>
      <c r="E20" s="443">
        <v>7051</v>
      </c>
      <c r="F20" s="479">
        <v>-0.10837126960040466</v>
      </c>
      <c r="G20" s="443">
        <v>1884</v>
      </c>
      <c r="H20" s="479">
        <v>-9.0294543698696272E-2</v>
      </c>
      <c r="K20" s="440"/>
      <c r="L20" s="446"/>
      <c r="M20" s="446"/>
      <c r="N20" s="446"/>
      <c r="O20" s="446"/>
      <c r="P20" s="446"/>
      <c r="Q20" s="446"/>
    </row>
    <row r="21" spans="2:17" ht="13.9" customHeight="1">
      <c r="B21" s="445">
        <v>2012</v>
      </c>
      <c r="C21" s="443">
        <v>9077</v>
      </c>
      <c r="D21" s="479">
        <v>0.13761122947737814</v>
      </c>
      <c r="E21" s="443">
        <v>7432</v>
      </c>
      <c r="F21" s="479">
        <v>5.4034888668273995E-2</v>
      </c>
      <c r="G21" s="443">
        <v>2082</v>
      </c>
      <c r="H21" s="479">
        <v>0.10509554140127397</v>
      </c>
      <c r="K21" s="440"/>
      <c r="L21" s="446"/>
      <c r="M21" s="446"/>
      <c r="N21" s="446"/>
      <c r="O21" s="446"/>
      <c r="P21" s="446"/>
      <c r="Q21" s="446"/>
    </row>
    <row r="22" spans="2:17" ht="13.9" customHeight="1">
      <c r="B22" s="445">
        <v>2013</v>
      </c>
      <c r="C22" s="442">
        <v>10573</v>
      </c>
      <c r="D22" s="479">
        <v>0.1648121626087915</v>
      </c>
      <c r="E22" s="443">
        <v>8692</v>
      </c>
      <c r="F22" s="479">
        <v>0.16953713670613557</v>
      </c>
      <c r="G22" s="443">
        <v>2539</v>
      </c>
      <c r="H22" s="479">
        <v>0.21950048030739677</v>
      </c>
      <c r="K22" s="440"/>
      <c r="L22" s="446"/>
      <c r="M22" s="446"/>
      <c r="N22" s="446"/>
      <c r="O22" s="446"/>
      <c r="P22" s="446"/>
      <c r="Q22" s="446"/>
    </row>
    <row r="23" spans="2:17" ht="13.9" customHeight="1">
      <c r="B23" s="445">
        <v>2014</v>
      </c>
      <c r="C23" s="442">
        <v>10508</v>
      </c>
      <c r="D23" s="479">
        <v>-6.1477347961789164E-3</v>
      </c>
      <c r="E23" s="443">
        <v>8823</v>
      </c>
      <c r="F23" s="479">
        <v>1.5071329958582513E-2</v>
      </c>
      <c r="G23" s="480">
        <v>2599</v>
      </c>
      <c r="H23" s="479">
        <v>2.3631350925561234E-2</v>
      </c>
      <c r="K23" s="440"/>
      <c r="L23" s="446"/>
      <c r="M23" s="446"/>
      <c r="N23" s="446"/>
      <c r="O23" s="446"/>
      <c r="P23" s="446"/>
      <c r="Q23" s="446"/>
    </row>
    <row r="24" spans="2:17" ht="13.9" customHeight="1">
      <c r="B24" s="360">
        <v>2015</v>
      </c>
      <c r="C24" s="442">
        <v>12078</v>
      </c>
      <c r="D24" s="479">
        <v>0.14940997335363537</v>
      </c>
      <c r="E24" s="443">
        <v>9551</v>
      </c>
      <c r="F24" s="479">
        <v>8.2511617363708378E-2</v>
      </c>
      <c r="G24" s="480">
        <v>2593</v>
      </c>
      <c r="H24" s="479">
        <v>-2.3085802231627151E-3</v>
      </c>
      <c r="K24" s="481"/>
      <c r="L24" s="482"/>
      <c r="M24" s="483"/>
      <c r="N24" s="483"/>
      <c r="O24" s="483"/>
      <c r="P24" s="483"/>
      <c r="Q24" s="483"/>
    </row>
    <row r="25" spans="2:17" ht="13.9" customHeight="1">
      <c r="B25" s="358">
        <v>2016</v>
      </c>
      <c r="C25" s="449">
        <v>12745</v>
      </c>
      <c r="D25" s="484">
        <v>5.5224374896506001E-2</v>
      </c>
      <c r="E25" s="450">
        <v>9882</v>
      </c>
      <c r="F25" s="484">
        <v>3.4656056957386605E-2</v>
      </c>
      <c r="G25" s="485">
        <v>2549</v>
      </c>
      <c r="H25" s="484">
        <v>-1.6968762051677633E-2</v>
      </c>
      <c r="K25" s="481"/>
      <c r="L25" s="482"/>
      <c r="M25" s="483"/>
      <c r="N25" s="483"/>
      <c r="O25" s="483"/>
      <c r="P25" s="483"/>
      <c r="Q25" s="483"/>
    </row>
    <row r="26" spans="2:17" ht="13.9" customHeight="1">
      <c r="B26" s="452"/>
      <c r="C26" s="486"/>
      <c r="D26" s="487"/>
      <c r="E26" s="486"/>
      <c r="F26" s="487"/>
      <c r="G26" s="486"/>
      <c r="H26" s="487"/>
    </row>
    <row r="27" spans="2:17" ht="13.9" customHeight="1">
      <c r="B27" s="1038" t="s">
        <v>306</v>
      </c>
      <c r="C27" s="1038"/>
      <c r="D27" s="1038"/>
      <c r="E27" s="1038"/>
      <c r="F27" s="1038"/>
      <c r="G27" s="1038"/>
      <c r="H27" s="1038"/>
    </row>
    <row r="28" spans="2:17" ht="13.9" customHeight="1">
      <c r="B28" s="472"/>
      <c r="C28" s="1039" t="s">
        <v>314</v>
      </c>
      <c r="D28" s="1039"/>
      <c r="E28" s="1039" t="s">
        <v>315</v>
      </c>
      <c r="F28" s="1039"/>
      <c r="G28" s="1039" t="s">
        <v>316</v>
      </c>
      <c r="H28" s="1039"/>
    </row>
    <row r="29" spans="2:17" ht="13.9" customHeight="1">
      <c r="B29" s="445" t="s">
        <v>311</v>
      </c>
      <c r="C29" s="473" t="s">
        <v>320</v>
      </c>
      <c r="D29" s="474" t="s">
        <v>317</v>
      </c>
      <c r="E29" s="473" t="s">
        <v>320</v>
      </c>
      <c r="F29" s="474" t="s">
        <v>317</v>
      </c>
      <c r="G29" s="473" t="s">
        <v>320</v>
      </c>
      <c r="H29" s="474" t="s">
        <v>317</v>
      </c>
    </row>
    <row r="30" spans="2:17" ht="13.9" customHeight="1">
      <c r="B30" s="358"/>
      <c r="C30" s="358" t="s">
        <v>321</v>
      </c>
      <c r="D30" s="475" t="s">
        <v>319</v>
      </c>
      <c r="E30" s="358" t="s">
        <v>321</v>
      </c>
      <c r="F30" s="475" t="s">
        <v>319</v>
      </c>
      <c r="G30" s="358" t="s">
        <v>321</v>
      </c>
      <c r="H30" s="475" t="s">
        <v>319</v>
      </c>
    </row>
    <row r="31" spans="2:17" ht="13.9" customHeight="1">
      <c r="B31" s="360">
        <v>2000</v>
      </c>
      <c r="C31" s="488">
        <v>209900</v>
      </c>
      <c r="D31" s="477">
        <v>0.12849462365591391</v>
      </c>
      <c r="E31" s="488">
        <v>248000</v>
      </c>
      <c r="F31" s="477">
        <v>0.10222222222222221</v>
      </c>
      <c r="G31" s="488">
        <v>275000</v>
      </c>
      <c r="H31" s="477">
        <v>0.10000000000000009</v>
      </c>
    </row>
    <row r="32" spans="2:17" ht="13.9" customHeight="1">
      <c r="B32" s="360">
        <v>2001</v>
      </c>
      <c r="C32" s="488">
        <v>235000</v>
      </c>
      <c r="D32" s="477">
        <v>0.11958075273939972</v>
      </c>
      <c r="E32" s="488">
        <v>279000</v>
      </c>
      <c r="F32" s="477">
        <v>0.125</v>
      </c>
      <c r="G32" s="488">
        <v>315000</v>
      </c>
      <c r="H32" s="477">
        <v>0.1454545454545455</v>
      </c>
    </row>
    <row r="33" spans="2:8" ht="13.9" customHeight="1">
      <c r="B33" s="360">
        <v>2002</v>
      </c>
      <c r="C33" s="488">
        <v>269000</v>
      </c>
      <c r="D33" s="477">
        <v>0.14468085106382977</v>
      </c>
      <c r="E33" s="488">
        <v>315000</v>
      </c>
      <c r="F33" s="477">
        <v>0.12903225806451624</v>
      </c>
      <c r="G33" s="488">
        <v>350000</v>
      </c>
      <c r="H33" s="477">
        <v>0.11111111111111116</v>
      </c>
    </row>
    <row r="34" spans="2:8" ht="13.9" customHeight="1">
      <c r="B34" s="360">
        <v>2003</v>
      </c>
      <c r="C34" s="488">
        <v>315000</v>
      </c>
      <c r="D34" s="477">
        <v>0.17100371747211907</v>
      </c>
      <c r="E34" s="488">
        <v>370000</v>
      </c>
      <c r="F34" s="477">
        <v>0.17460317460317465</v>
      </c>
      <c r="G34" s="488">
        <v>412250</v>
      </c>
      <c r="H34" s="477">
        <v>0.17785714285714294</v>
      </c>
    </row>
    <row r="35" spans="2:8" ht="13.9" customHeight="1">
      <c r="B35" s="360">
        <v>2004</v>
      </c>
      <c r="C35" s="488">
        <v>360000</v>
      </c>
      <c r="D35" s="477">
        <v>0.14285714285714279</v>
      </c>
      <c r="E35" s="488">
        <v>430000</v>
      </c>
      <c r="F35" s="477">
        <v>0.16216216216216206</v>
      </c>
      <c r="G35" s="488">
        <v>499000</v>
      </c>
      <c r="H35" s="477">
        <v>0.21043056397816851</v>
      </c>
    </row>
    <row r="36" spans="2:8" ht="13.9" customHeight="1">
      <c r="B36" s="445">
        <v>2005</v>
      </c>
      <c r="C36" s="488">
        <v>420810</v>
      </c>
      <c r="D36" s="479">
        <v>0.1689166666666666</v>
      </c>
      <c r="E36" s="488">
        <v>515000</v>
      </c>
      <c r="F36" s="479">
        <v>0.19767441860465107</v>
      </c>
      <c r="G36" s="488">
        <v>600000</v>
      </c>
      <c r="H36" s="477">
        <v>0.20240480961923857</v>
      </c>
    </row>
    <row r="37" spans="2:8" ht="13.9" customHeight="1">
      <c r="B37" s="445">
        <v>2006</v>
      </c>
      <c r="C37" s="488">
        <v>460000</v>
      </c>
      <c r="D37" s="479">
        <v>9.3129916114160771E-2</v>
      </c>
      <c r="E37" s="488">
        <v>578000</v>
      </c>
      <c r="F37" s="479">
        <v>0.12233009708737863</v>
      </c>
      <c r="G37" s="488">
        <v>675000</v>
      </c>
      <c r="H37" s="479">
        <v>0.125</v>
      </c>
    </row>
    <row r="38" spans="2:8" ht="13.9" customHeight="1">
      <c r="B38" s="445">
        <v>2007</v>
      </c>
      <c r="C38" s="489">
        <v>475000</v>
      </c>
      <c r="D38" s="479">
        <v>3.2608695652173836E-2</v>
      </c>
      <c r="E38" s="489">
        <v>595000</v>
      </c>
      <c r="F38" s="479">
        <v>2.9411764705882248E-2</v>
      </c>
      <c r="G38" s="489">
        <v>700000</v>
      </c>
      <c r="H38" s="479">
        <v>3.7037037037036979E-2</v>
      </c>
    </row>
    <row r="39" spans="2:8" ht="13.9" customHeight="1">
      <c r="B39" s="360">
        <v>2008</v>
      </c>
      <c r="C39" s="488">
        <v>430000</v>
      </c>
      <c r="D39" s="479">
        <v>-9.4736842105263119E-2</v>
      </c>
      <c r="E39" s="488">
        <v>539000</v>
      </c>
      <c r="F39" s="479">
        <v>-9.4117647058823528E-2</v>
      </c>
      <c r="G39" s="488">
        <v>640996</v>
      </c>
      <c r="H39" s="479">
        <v>-8.4291428571428573E-2</v>
      </c>
    </row>
    <row r="40" spans="2:8" ht="13.9" customHeight="1">
      <c r="B40" s="445">
        <v>2009</v>
      </c>
      <c r="C40" s="488">
        <v>394000</v>
      </c>
      <c r="D40" s="479">
        <v>-8.3720930232558111E-2</v>
      </c>
      <c r="E40" s="488">
        <v>461100</v>
      </c>
      <c r="F40" s="479">
        <v>-0.14452690166975879</v>
      </c>
      <c r="G40" s="488">
        <v>562268</v>
      </c>
      <c r="H40" s="479">
        <v>-0.12282135925965221</v>
      </c>
    </row>
    <row r="41" spans="2:8" ht="13.9" customHeight="1">
      <c r="B41" s="445">
        <v>2010</v>
      </c>
      <c r="C41" s="490">
        <v>395000</v>
      </c>
      <c r="D41" s="479">
        <v>2.5380710659899108E-3</v>
      </c>
      <c r="E41" s="489">
        <v>445000</v>
      </c>
      <c r="F41" s="479">
        <v>-3.4916504012144856E-2</v>
      </c>
      <c r="G41" s="489">
        <v>535000</v>
      </c>
      <c r="H41" s="479">
        <v>-4.849644653439289E-2</v>
      </c>
    </row>
    <row r="42" spans="2:8" ht="13.9" customHeight="1">
      <c r="B42" s="445">
        <v>2011</v>
      </c>
      <c r="C42" s="489">
        <v>393800</v>
      </c>
      <c r="D42" s="479">
        <v>-3.0379746835442756E-3</v>
      </c>
      <c r="E42" s="489">
        <v>445000</v>
      </c>
      <c r="F42" s="479">
        <v>0</v>
      </c>
      <c r="G42" s="489">
        <v>519500</v>
      </c>
      <c r="H42" s="479">
        <v>-2.8971962616822444E-2</v>
      </c>
    </row>
    <row r="43" spans="2:8" ht="13.9" customHeight="1">
      <c r="B43" s="445">
        <v>2012</v>
      </c>
      <c r="C43" s="490">
        <v>400000</v>
      </c>
      <c r="D43" s="479">
        <v>1.5744032503808958E-2</v>
      </c>
      <c r="E43" s="489">
        <v>460000</v>
      </c>
      <c r="F43" s="479">
        <v>3.3707865168539408E-2</v>
      </c>
      <c r="G43" s="489">
        <v>520000</v>
      </c>
      <c r="H43" s="479">
        <v>9.6246390760357237E-4</v>
      </c>
    </row>
    <row r="44" spans="2:8" ht="13.9" customHeight="1">
      <c r="B44" s="445">
        <v>2013</v>
      </c>
      <c r="C44" s="490">
        <v>415000</v>
      </c>
      <c r="D44" s="479">
        <v>3.7500000000000089E-2</v>
      </c>
      <c r="E44" s="489">
        <v>489545</v>
      </c>
      <c r="F44" s="479">
        <v>6.4228260869565235E-2</v>
      </c>
      <c r="G44" s="489">
        <v>550000</v>
      </c>
      <c r="H44" s="479">
        <v>5.7692307692307709E-2</v>
      </c>
    </row>
    <row r="45" spans="2:8" ht="13.9" customHeight="1">
      <c r="B45" s="445">
        <v>2014</v>
      </c>
      <c r="C45" s="488">
        <v>430424</v>
      </c>
      <c r="D45" s="479">
        <v>3.7166265060240899E-2</v>
      </c>
      <c r="E45" s="488">
        <v>525000</v>
      </c>
      <c r="F45" s="479">
        <v>7.2424394080217391E-2</v>
      </c>
      <c r="G45" s="488">
        <v>615000</v>
      </c>
      <c r="H45" s="479">
        <v>0.11818181818181817</v>
      </c>
    </row>
    <row r="46" spans="2:8" ht="13.9" customHeight="1">
      <c r="B46" s="445">
        <v>2015</v>
      </c>
      <c r="C46" s="488">
        <v>450000</v>
      </c>
      <c r="D46" s="479">
        <v>4.5480735274984641E-2</v>
      </c>
      <c r="E46" s="488">
        <v>560000</v>
      </c>
      <c r="F46" s="479">
        <v>6.6666666666666652E-2</v>
      </c>
      <c r="G46" s="488">
        <v>680000</v>
      </c>
      <c r="H46" s="479">
        <v>0.10569105691056913</v>
      </c>
    </row>
    <row r="47" spans="2:8" ht="13.9" customHeight="1">
      <c r="B47" s="448">
        <v>2016</v>
      </c>
      <c r="C47" s="491">
        <v>475000</v>
      </c>
      <c r="D47" s="484">
        <v>5.555555555555558E-2</v>
      </c>
      <c r="E47" s="491">
        <v>600000</v>
      </c>
      <c r="F47" s="484">
        <v>7.1428571428571397E-2</v>
      </c>
      <c r="G47" s="491">
        <v>742500</v>
      </c>
      <c r="H47" s="484">
        <v>9.1911764705882248E-2</v>
      </c>
    </row>
  </sheetData>
  <mergeCells count="10">
    <mergeCell ref="B27:H27"/>
    <mergeCell ref="C28:D28"/>
    <mergeCell ref="E28:F28"/>
    <mergeCell ref="G28:H28"/>
    <mergeCell ref="B2:H2"/>
    <mergeCell ref="B3:H3"/>
    <mergeCell ref="B5:H5"/>
    <mergeCell ref="C6:D6"/>
    <mergeCell ref="E6:F6"/>
    <mergeCell ref="G6:H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60"/>
  <sheetViews>
    <sheetView showGridLines="0" zoomScaleNormal="100" workbookViewId="0">
      <selection activeCell="A7" sqref="A7"/>
    </sheetView>
  </sheetViews>
  <sheetFormatPr defaultRowHeight="15"/>
  <cols>
    <col min="1" max="1" width="34.28515625" style="1103" customWidth="1"/>
    <col min="2" max="2" width="10.140625" style="1104" bestFit="1" customWidth="1"/>
    <col min="3" max="3" width="12.42578125" style="153" bestFit="1" customWidth="1"/>
    <col min="4" max="4" width="12.28515625" style="153" customWidth="1"/>
    <col min="5" max="5" width="9.28515625" style="153" bestFit="1" customWidth="1"/>
    <col min="6" max="6" width="10.140625" style="154" bestFit="1" customWidth="1"/>
    <col min="7" max="7" width="9.28515625" style="155" customWidth="1"/>
    <col min="8" max="8" width="10.140625" style="154" bestFit="1" customWidth="1"/>
    <col min="9" max="9" width="9.28515625" style="154" bestFit="1" customWidth="1"/>
    <col min="10" max="16384" width="9.140625" style="352"/>
  </cols>
  <sheetData>
    <row r="1" spans="1:9" ht="15.75">
      <c r="A1" s="999" t="s">
        <v>67</v>
      </c>
      <c r="B1" s="999"/>
      <c r="C1" s="999"/>
      <c r="D1" s="999"/>
      <c r="E1" s="999"/>
      <c r="F1" s="999"/>
      <c r="G1" s="999"/>
      <c r="H1" s="999"/>
      <c r="I1" s="999"/>
    </row>
    <row r="2" spans="1:9" ht="15.75">
      <c r="A2" s="999" t="s">
        <v>68</v>
      </c>
      <c r="B2" s="999"/>
      <c r="C2" s="999"/>
      <c r="D2" s="999"/>
      <c r="E2" s="999"/>
      <c r="F2" s="999"/>
      <c r="G2" s="999"/>
      <c r="H2" s="999"/>
      <c r="I2" s="999"/>
    </row>
    <row r="3" spans="1:9" ht="15.75">
      <c r="A3" s="999" t="s">
        <v>69</v>
      </c>
      <c r="B3" s="999"/>
      <c r="C3" s="999"/>
      <c r="D3" s="999"/>
      <c r="E3" s="999"/>
      <c r="F3" s="999"/>
      <c r="G3" s="999"/>
      <c r="H3" s="999"/>
      <c r="I3" s="999"/>
    </row>
    <row r="4" spans="1:9" ht="15.75">
      <c r="A4" s="980"/>
      <c r="B4" s="980"/>
      <c r="C4" s="980"/>
      <c r="D4" s="980"/>
      <c r="E4" s="980"/>
      <c r="F4" s="980"/>
      <c r="G4" s="980"/>
      <c r="H4" s="980"/>
      <c r="I4" s="980"/>
    </row>
    <row r="5" spans="1:9">
      <c r="A5" s="1000" t="s">
        <v>63</v>
      </c>
      <c r="B5" s="1000"/>
      <c r="C5" s="1000"/>
      <c r="D5" s="1000"/>
      <c r="E5" s="1000"/>
      <c r="F5" s="1000"/>
      <c r="G5" s="1000"/>
      <c r="H5" s="1000"/>
      <c r="I5" s="1000"/>
    </row>
    <row r="6" spans="1:9">
      <c r="A6" s="981"/>
      <c r="B6" s="981"/>
      <c r="C6" s="981"/>
      <c r="D6" s="73"/>
      <c r="E6" s="73"/>
      <c r="F6" s="73"/>
      <c r="G6" s="73"/>
      <c r="H6" s="73"/>
      <c r="I6" s="73"/>
    </row>
    <row r="7" spans="1:9">
      <c r="A7" s="74"/>
      <c r="B7" s="75"/>
      <c r="C7" s="76" t="s">
        <v>70</v>
      </c>
      <c r="D7" s="77" t="s">
        <v>40</v>
      </c>
      <c r="E7" s="78"/>
      <c r="F7" s="1001" t="s">
        <v>71</v>
      </c>
      <c r="G7" s="1002"/>
      <c r="H7" s="1002"/>
      <c r="I7" s="1003"/>
    </row>
    <row r="8" spans="1:9">
      <c r="A8" s="79" t="s">
        <v>72</v>
      </c>
      <c r="B8" s="80" t="s">
        <v>73</v>
      </c>
      <c r="C8" s="81" t="s">
        <v>74</v>
      </c>
      <c r="D8" s="82"/>
      <c r="E8" s="83" t="s">
        <v>75</v>
      </c>
      <c r="F8" s="84" t="s">
        <v>76</v>
      </c>
      <c r="G8" s="85"/>
      <c r="H8" s="997" t="s">
        <v>77</v>
      </c>
      <c r="I8" s="998"/>
    </row>
    <row r="9" spans="1:9">
      <c r="A9" s="86"/>
      <c r="B9" s="87"/>
      <c r="C9" s="88" t="s">
        <v>78</v>
      </c>
      <c r="D9" s="89" t="s">
        <v>79</v>
      </c>
      <c r="E9" s="90" t="s">
        <v>80</v>
      </c>
      <c r="F9" s="91" t="s">
        <v>79</v>
      </c>
      <c r="G9" s="92" t="s">
        <v>80</v>
      </c>
      <c r="H9" s="91" t="s">
        <v>79</v>
      </c>
      <c r="I9" s="92" t="s">
        <v>80</v>
      </c>
    </row>
    <row r="10" spans="1:9">
      <c r="A10" s="93" t="s">
        <v>81</v>
      </c>
      <c r="B10" s="94">
        <v>1057177</v>
      </c>
      <c r="C10" s="95"/>
      <c r="D10" s="96">
        <v>1064244484473</v>
      </c>
      <c r="E10" s="97">
        <v>0.99999999999999978</v>
      </c>
      <c r="F10" s="96">
        <v>234541703376</v>
      </c>
      <c r="G10" s="97">
        <v>0.99999999999999989</v>
      </c>
      <c r="H10" s="96">
        <v>208611093009</v>
      </c>
      <c r="I10" s="97">
        <v>1</v>
      </c>
    </row>
    <row r="11" spans="1:9">
      <c r="A11" s="98"/>
      <c r="B11" s="99"/>
      <c r="C11" s="100"/>
      <c r="D11" s="101"/>
      <c r="E11" s="102"/>
      <c r="F11" s="101"/>
      <c r="G11" s="102"/>
      <c r="H11" s="101"/>
      <c r="I11" s="102"/>
    </row>
    <row r="12" spans="1:9">
      <c r="A12" s="86" t="s">
        <v>59</v>
      </c>
      <c r="B12" s="99">
        <v>698927</v>
      </c>
      <c r="C12" s="99">
        <v>1093722</v>
      </c>
      <c r="D12" s="101">
        <v>496340218564</v>
      </c>
      <c r="E12" s="103">
        <v>0.46637800411977809</v>
      </c>
      <c r="F12" s="101">
        <v>18393885868</v>
      </c>
      <c r="G12" s="103">
        <v>7.8424798674341836E-2</v>
      </c>
      <c r="H12" s="101">
        <v>18393885868</v>
      </c>
      <c r="I12" s="103">
        <v>8.8173095700171816E-2</v>
      </c>
    </row>
    <row r="13" spans="1:9">
      <c r="A13" s="104" t="s">
        <v>82</v>
      </c>
      <c r="B13" s="105">
        <v>314455</v>
      </c>
      <c r="C13" s="105">
        <v>314455</v>
      </c>
      <c r="D13" s="106">
        <v>206648800720</v>
      </c>
      <c r="E13" s="107">
        <v>0.19417418059002653</v>
      </c>
      <c r="F13" s="106">
        <v>8263585871</v>
      </c>
      <c r="G13" s="107">
        <v>3.5232906353342322E-2</v>
      </c>
      <c r="H13" s="106">
        <v>8263585871</v>
      </c>
      <c r="I13" s="107">
        <v>3.9612399090605828E-2</v>
      </c>
    </row>
    <row r="14" spans="1:9">
      <c r="A14" s="104" t="s">
        <v>83</v>
      </c>
      <c r="B14" s="105">
        <v>248601</v>
      </c>
      <c r="C14" s="105">
        <v>497202</v>
      </c>
      <c r="D14" s="106">
        <v>185760101347</v>
      </c>
      <c r="E14" s="107">
        <v>0.17454645436944499</v>
      </c>
      <c r="F14" s="106">
        <v>6755265062</v>
      </c>
      <c r="G14" s="107">
        <v>2.8801978346556373E-2</v>
      </c>
      <c r="H14" s="106">
        <v>6755265062</v>
      </c>
      <c r="I14" s="107">
        <v>3.2382098979312483E-2</v>
      </c>
    </row>
    <row r="15" spans="1:9">
      <c r="A15" s="104" t="s">
        <v>84</v>
      </c>
      <c r="B15" s="105">
        <v>72893</v>
      </c>
      <c r="C15" s="105">
        <v>218679</v>
      </c>
      <c r="D15" s="106">
        <v>72524752546</v>
      </c>
      <c r="E15" s="107">
        <v>6.8146702758730582E-2</v>
      </c>
      <c r="F15" s="106">
        <v>2258271598</v>
      </c>
      <c r="G15" s="107">
        <v>9.6284437500639506E-3</v>
      </c>
      <c r="H15" s="106">
        <v>2258271598</v>
      </c>
      <c r="I15" s="107">
        <v>1.0825270916453961E-2</v>
      </c>
    </row>
    <row r="16" spans="1:9">
      <c r="A16" s="104" t="s">
        <v>85</v>
      </c>
      <c r="B16" s="105">
        <v>23970</v>
      </c>
      <c r="C16" s="105">
        <v>23970</v>
      </c>
      <c r="D16" s="106">
        <v>9641718454</v>
      </c>
      <c r="E16" s="107">
        <v>9.0596837424761975E-3</v>
      </c>
      <c r="F16" s="106">
        <v>310399717</v>
      </c>
      <c r="G16" s="107">
        <v>1.3234308122269838E-3</v>
      </c>
      <c r="H16" s="106">
        <v>310399717</v>
      </c>
      <c r="I16" s="107">
        <v>1.4879348577432007E-3</v>
      </c>
    </row>
    <row r="17" spans="1:9">
      <c r="A17" s="104" t="s">
        <v>86</v>
      </c>
      <c r="B17" s="105">
        <v>15501</v>
      </c>
      <c r="C17" s="108">
        <v>0</v>
      </c>
      <c r="D17" s="106">
        <v>3520120371</v>
      </c>
      <c r="E17" s="107">
        <v>3.3076237860355157E-3</v>
      </c>
      <c r="F17" s="106">
        <v>105473526</v>
      </c>
      <c r="G17" s="107">
        <v>4.4970052012845071E-4</v>
      </c>
      <c r="H17" s="106">
        <v>105473526</v>
      </c>
      <c r="I17" s="107">
        <v>5.0559883694895177E-4</v>
      </c>
    </row>
    <row r="18" spans="1:9">
      <c r="A18" s="104" t="s">
        <v>87</v>
      </c>
      <c r="B18" s="105">
        <v>23507</v>
      </c>
      <c r="C18" s="105">
        <v>39416</v>
      </c>
      <c r="D18" s="106">
        <v>18244725126</v>
      </c>
      <c r="E18" s="107">
        <v>1.7143358873064351E-2</v>
      </c>
      <c r="F18" s="106">
        <v>700890094</v>
      </c>
      <c r="G18" s="107">
        <v>2.9883388920237549E-3</v>
      </c>
      <c r="H18" s="106">
        <v>700890094</v>
      </c>
      <c r="I18" s="107">
        <v>3.3597930191073869E-3</v>
      </c>
    </row>
    <row r="19" spans="1:9">
      <c r="A19" s="109"/>
      <c r="B19" s="110"/>
      <c r="C19" s="110"/>
      <c r="D19" s="106"/>
      <c r="E19" s="111"/>
      <c r="F19" s="106"/>
      <c r="G19" s="111"/>
      <c r="H19" s="106"/>
      <c r="I19" s="111"/>
    </row>
    <row r="20" spans="1:9">
      <c r="A20" s="86" t="s">
        <v>60</v>
      </c>
      <c r="B20" s="99">
        <v>260779</v>
      </c>
      <c r="C20" s="99">
        <v>1885107</v>
      </c>
      <c r="D20" s="101">
        <v>256799853060</v>
      </c>
      <c r="E20" s="103">
        <v>0.24129780027675121</v>
      </c>
      <c r="F20" s="101">
        <v>85118460532</v>
      </c>
      <c r="G20" s="103">
        <v>0.36291396927199915</v>
      </c>
      <c r="H20" s="101">
        <v>73978854432</v>
      </c>
      <c r="I20" s="103">
        <v>0.35462569782330966</v>
      </c>
    </row>
    <row r="21" spans="1:9">
      <c r="A21" s="104" t="s">
        <v>88</v>
      </c>
      <c r="B21" s="105">
        <v>23824</v>
      </c>
      <c r="C21" s="105">
        <v>993224</v>
      </c>
      <c r="D21" s="106">
        <v>96439562317</v>
      </c>
      <c r="E21" s="107">
        <v>9.0617864338527074E-2</v>
      </c>
      <c r="F21" s="106">
        <v>37491468989</v>
      </c>
      <c r="G21" s="107">
        <v>0.15984990493949144</v>
      </c>
      <c r="H21" s="106">
        <v>31802667973</v>
      </c>
      <c r="I21" s="107">
        <v>0.15244955344550135</v>
      </c>
    </row>
    <row r="22" spans="1:9">
      <c r="A22" s="104" t="s">
        <v>89</v>
      </c>
      <c r="B22" s="105">
        <v>4842</v>
      </c>
      <c r="C22" s="105">
        <v>359155</v>
      </c>
      <c r="D22" s="106">
        <v>51979320273</v>
      </c>
      <c r="E22" s="107">
        <v>4.8841521879006478E-2</v>
      </c>
      <c r="F22" s="106">
        <v>22309205961</v>
      </c>
      <c r="G22" s="107">
        <v>9.5118290862054172E-2</v>
      </c>
      <c r="H22" s="106">
        <v>19102669378</v>
      </c>
      <c r="I22" s="107">
        <v>9.157072666876763E-2</v>
      </c>
    </row>
    <row r="23" spans="1:9">
      <c r="A23" s="104" t="s">
        <v>85</v>
      </c>
      <c r="B23" s="105">
        <v>163075</v>
      </c>
      <c r="C23" s="105">
        <v>163075</v>
      </c>
      <c r="D23" s="106">
        <v>38302788652</v>
      </c>
      <c r="E23" s="107">
        <v>3.5990591645835068E-2</v>
      </c>
      <c r="F23" s="106">
        <v>13653060688</v>
      </c>
      <c r="G23" s="107">
        <v>5.8211654863410019E-2</v>
      </c>
      <c r="H23" s="106">
        <v>11860160860</v>
      </c>
      <c r="I23" s="107">
        <v>5.6852973103823978E-2</v>
      </c>
    </row>
    <row r="24" spans="1:9">
      <c r="A24" s="104" t="s">
        <v>90</v>
      </c>
      <c r="B24" s="105">
        <v>340</v>
      </c>
      <c r="C24" s="105">
        <v>30915</v>
      </c>
      <c r="D24" s="106">
        <v>6478274411</v>
      </c>
      <c r="E24" s="107">
        <v>6.0872050600365166E-3</v>
      </c>
      <c r="F24" s="106">
        <v>1256738626</v>
      </c>
      <c r="G24" s="107">
        <v>5.3582736370993657E-3</v>
      </c>
      <c r="H24" s="106">
        <v>1100043210</v>
      </c>
      <c r="I24" s="107">
        <v>5.2731769635689573E-3</v>
      </c>
    </row>
    <row r="25" spans="1:9">
      <c r="A25" s="112" t="s">
        <v>91</v>
      </c>
      <c r="B25" s="105">
        <v>265</v>
      </c>
      <c r="C25" s="105">
        <v>28948</v>
      </c>
      <c r="D25" s="106">
        <v>5315301206</v>
      </c>
      <c r="E25" s="107">
        <v>4.9944362254619231E-3</v>
      </c>
      <c r="F25" s="106">
        <v>2116046314</v>
      </c>
      <c r="G25" s="107">
        <v>9.0220471819790204E-3</v>
      </c>
      <c r="H25" s="106">
        <v>1821373057</v>
      </c>
      <c r="I25" s="107">
        <v>8.7309501653462952E-3</v>
      </c>
    </row>
    <row r="26" spans="1:9">
      <c r="A26" s="104" t="s">
        <v>92</v>
      </c>
      <c r="B26" s="105">
        <v>53710</v>
      </c>
      <c r="C26" s="105">
        <v>285086</v>
      </c>
      <c r="D26" s="106">
        <v>48137526660</v>
      </c>
      <c r="E26" s="107">
        <v>4.5231643069155371E-2</v>
      </c>
      <c r="F26" s="106">
        <v>6818056096</v>
      </c>
      <c r="G26" s="107">
        <v>2.9069696339118822E-2</v>
      </c>
      <c r="H26" s="106">
        <v>6818056096</v>
      </c>
      <c r="I26" s="107">
        <v>3.2683094641116961E-2</v>
      </c>
    </row>
    <row r="27" spans="1:9">
      <c r="A27" s="104" t="s">
        <v>93</v>
      </c>
      <c r="B27" s="105">
        <v>1956</v>
      </c>
      <c r="C27" s="105">
        <v>12785</v>
      </c>
      <c r="D27" s="106">
        <v>5310392750</v>
      </c>
      <c r="E27" s="107">
        <v>4.9898240747093345E-3</v>
      </c>
      <c r="F27" s="106">
        <v>707024890</v>
      </c>
      <c r="G27" s="107">
        <v>3.014495417331176E-3</v>
      </c>
      <c r="H27" s="106">
        <v>707024890</v>
      </c>
      <c r="I27" s="107">
        <v>3.389200832045385E-3</v>
      </c>
    </row>
    <row r="28" spans="1:9">
      <c r="A28" s="104" t="s">
        <v>94</v>
      </c>
      <c r="B28" s="105">
        <v>12712</v>
      </c>
      <c r="C28" s="105">
        <v>11571</v>
      </c>
      <c r="D28" s="106">
        <v>4656208836</v>
      </c>
      <c r="E28" s="107">
        <v>4.3751308124520783E-3</v>
      </c>
      <c r="F28" s="106">
        <v>736072074</v>
      </c>
      <c r="G28" s="107">
        <v>3.1383419809993597E-3</v>
      </c>
      <c r="H28" s="106">
        <v>736072074</v>
      </c>
      <c r="I28" s="107">
        <v>3.5284416728895815E-3</v>
      </c>
    </row>
    <row r="29" spans="1:9">
      <c r="A29" s="104" t="s">
        <v>95</v>
      </c>
      <c r="B29" s="105">
        <v>55</v>
      </c>
      <c r="C29" s="105">
        <v>348</v>
      </c>
      <c r="D29" s="106">
        <v>180477955</v>
      </c>
      <c r="E29" s="107">
        <v>1.6958317156735871E-4</v>
      </c>
      <c r="F29" s="106">
        <v>30786894</v>
      </c>
      <c r="G29" s="107">
        <v>1.3126405051576144E-4</v>
      </c>
      <c r="H29" s="106">
        <v>30786894</v>
      </c>
      <c r="I29" s="107">
        <v>1.4758033024960841E-4</v>
      </c>
    </row>
    <row r="30" spans="1:9">
      <c r="A30" s="104"/>
      <c r="B30" s="110"/>
      <c r="C30" s="110"/>
      <c r="D30" s="106"/>
      <c r="E30" s="107"/>
      <c r="F30" s="106"/>
      <c r="G30" s="107"/>
      <c r="H30" s="106"/>
      <c r="I30" s="107"/>
    </row>
    <row r="31" spans="1:9">
      <c r="A31" s="86" t="s">
        <v>61</v>
      </c>
      <c r="B31" s="99">
        <v>294</v>
      </c>
      <c r="C31" s="113">
        <v>0</v>
      </c>
      <c r="D31" s="101">
        <v>32328263921</v>
      </c>
      <c r="E31" s="103">
        <v>3.0376726769703238E-2</v>
      </c>
      <c r="F31" s="101">
        <v>14203259742</v>
      </c>
      <c r="G31" s="103">
        <v>6.0557502301543269E-2</v>
      </c>
      <c r="H31" s="101">
        <v>14203259742</v>
      </c>
      <c r="I31" s="103">
        <v>6.8084872847040956E-2</v>
      </c>
    </row>
    <row r="32" spans="1:9">
      <c r="A32" s="104" t="s">
        <v>96</v>
      </c>
      <c r="B32" s="105">
        <v>52</v>
      </c>
      <c r="C32" s="108">
        <v>0</v>
      </c>
      <c r="D32" s="106">
        <v>25661136599</v>
      </c>
      <c r="E32" s="107">
        <v>2.4112069147069211E-2</v>
      </c>
      <c r="F32" s="106">
        <v>11547511470</v>
      </c>
      <c r="G32" s="107">
        <v>4.923436345769127E-2</v>
      </c>
      <c r="H32" s="106">
        <v>11547511470</v>
      </c>
      <c r="I32" s="107">
        <v>5.5354254193480557E-2</v>
      </c>
    </row>
    <row r="33" spans="1:9">
      <c r="A33" s="104" t="s">
        <v>97</v>
      </c>
      <c r="B33" s="105">
        <v>241</v>
      </c>
      <c r="C33" s="108">
        <v>0</v>
      </c>
      <c r="D33" s="106">
        <v>6666861322</v>
      </c>
      <c r="E33" s="107">
        <v>6.2644076800654905E-3</v>
      </c>
      <c r="F33" s="106">
        <v>2655628572</v>
      </c>
      <c r="G33" s="107">
        <v>1.1322628486852471E-2</v>
      </c>
      <c r="H33" s="106">
        <v>2655628572</v>
      </c>
      <c r="I33" s="107">
        <v>1.2730044858570535E-2</v>
      </c>
    </row>
    <row r="34" spans="1:9">
      <c r="A34" s="112" t="s">
        <v>87</v>
      </c>
      <c r="B34" s="105">
        <v>1</v>
      </c>
      <c r="C34" s="108">
        <v>0</v>
      </c>
      <c r="D34" s="106">
        <v>266000</v>
      </c>
      <c r="E34" s="107">
        <v>2.4994256853651419E-7</v>
      </c>
      <c r="F34" s="106">
        <v>119700</v>
      </c>
      <c r="G34" s="107">
        <v>5.1035699953157489E-7</v>
      </c>
      <c r="H34" s="106">
        <v>119700</v>
      </c>
      <c r="I34" s="107">
        <v>5.7379498987062901E-7</v>
      </c>
    </row>
    <row r="35" spans="1:9">
      <c r="A35" s="109"/>
      <c r="B35" s="110"/>
      <c r="C35" s="114"/>
      <c r="D35" s="106"/>
      <c r="E35" s="111"/>
      <c r="F35" s="106"/>
      <c r="G35" s="111"/>
      <c r="H35" s="106"/>
      <c r="I35" s="111"/>
    </row>
    <row r="36" spans="1:9">
      <c r="A36" s="86" t="s">
        <v>62</v>
      </c>
      <c r="B36" s="99">
        <v>97177</v>
      </c>
      <c r="C36" s="115">
        <v>1091296326</v>
      </c>
      <c r="D36" s="116">
        <v>278776148928</v>
      </c>
      <c r="E36" s="103">
        <v>0.26194746883376735</v>
      </c>
      <c r="F36" s="116">
        <v>116826097234</v>
      </c>
      <c r="G36" s="103">
        <v>0.49810372975211564</v>
      </c>
      <c r="H36" s="116">
        <v>102035092967</v>
      </c>
      <c r="I36" s="103">
        <v>0.4891163336294776</v>
      </c>
    </row>
    <row r="37" spans="1:9">
      <c r="A37" s="117" t="s">
        <v>98</v>
      </c>
      <c r="B37" s="105">
        <v>6475</v>
      </c>
      <c r="C37" s="118">
        <v>410661532</v>
      </c>
      <c r="D37" s="106">
        <v>122880557250</v>
      </c>
      <c r="E37" s="107">
        <v>0.11546271467016232</v>
      </c>
      <c r="F37" s="106">
        <v>53803239685</v>
      </c>
      <c r="G37" s="107">
        <v>0.22939732640530289</v>
      </c>
      <c r="H37" s="106">
        <v>47715249775</v>
      </c>
      <c r="I37" s="107">
        <v>0.22872824779716505</v>
      </c>
    </row>
    <row r="38" spans="1:9">
      <c r="A38" s="109" t="s">
        <v>99</v>
      </c>
      <c r="B38" s="105">
        <v>5486</v>
      </c>
      <c r="C38" s="118">
        <v>61045548</v>
      </c>
      <c r="D38" s="106">
        <v>21946742156</v>
      </c>
      <c r="E38" s="107">
        <v>2.0621898892779079E-2</v>
      </c>
      <c r="F38" s="106">
        <v>9300340868</v>
      </c>
      <c r="G38" s="107">
        <v>3.9653250292509296E-2</v>
      </c>
      <c r="H38" s="106">
        <v>8194758786</v>
      </c>
      <c r="I38" s="107">
        <v>3.928246896077793E-2</v>
      </c>
    </row>
    <row r="39" spans="1:9">
      <c r="A39" s="109" t="s">
        <v>100</v>
      </c>
      <c r="B39" s="105">
        <v>664</v>
      </c>
      <c r="C39" s="118">
        <v>21841559</v>
      </c>
      <c r="D39" s="106">
        <v>3792572815</v>
      </c>
      <c r="E39" s="107">
        <v>3.5636292885069848E-3</v>
      </c>
      <c r="F39" s="106">
        <v>1661406250</v>
      </c>
      <c r="G39" s="107">
        <v>7.0836283103843404E-3</v>
      </c>
      <c r="H39" s="106">
        <v>1374296883</v>
      </c>
      <c r="I39" s="107">
        <v>6.587841821722824E-3</v>
      </c>
    </row>
    <row r="40" spans="1:9">
      <c r="A40" s="119" t="s">
        <v>101</v>
      </c>
      <c r="B40" s="105">
        <v>19138</v>
      </c>
      <c r="C40" s="118">
        <v>160482807</v>
      </c>
      <c r="D40" s="106">
        <v>37689268871</v>
      </c>
      <c r="E40" s="107">
        <v>3.5414107773988825E-2</v>
      </c>
      <c r="F40" s="106">
        <v>15754187229</v>
      </c>
      <c r="G40" s="107">
        <v>6.7170089592740984E-2</v>
      </c>
      <c r="H40" s="106">
        <v>13391159907</v>
      </c>
      <c r="I40" s="107">
        <v>6.4191983819490706E-2</v>
      </c>
    </row>
    <row r="41" spans="1:9">
      <c r="A41" s="109" t="s">
        <v>102</v>
      </c>
      <c r="B41" s="105">
        <v>3320</v>
      </c>
      <c r="C41" s="118">
        <v>29536512</v>
      </c>
      <c r="D41" s="106">
        <v>12913244226</v>
      </c>
      <c r="E41" s="107">
        <v>1.2133719661600567E-2</v>
      </c>
      <c r="F41" s="106">
        <v>4842678805</v>
      </c>
      <c r="G41" s="107">
        <v>2.0647410397785736E-2</v>
      </c>
      <c r="H41" s="106">
        <v>3878777752</v>
      </c>
      <c r="I41" s="107">
        <v>1.8593343700244454E-2</v>
      </c>
    </row>
    <row r="42" spans="1:9">
      <c r="A42" s="109" t="s">
        <v>103</v>
      </c>
      <c r="B42" s="105">
        <v>3775</v>
      </c>
      <c r="C42" s="118">
        <v>61345879</v>
      </c>
      <c r="D42" s="106">
        <v>4487938441</v>
      </c>
      <c r="E42" s="107">
        <v>4.217018275854508E-3</v>
      </c>
      <c r="F42" s="106">
        <v>1879140408</v>
      </c>
      <c r="G42" s="107">
        <v>8.0119670870962348E-3</v>
      </c>
      <c r="H42" s="106">
        <v>1614063000</v>
      </c>
      <c r="I42" s="107">
        <v>7.737186823187611E-3</v>
      </c>
    </row>
    <row r="43" spans="1:9">
      <c r="A43" s="109" t="s">
        <v>104</v>
      </c>
      <c r="B43" s="105">
        <v>6029</v>
      </c>
      <c r="C43" s="118">
        <v>98717232</v>
      </c>
      <c r="D43" s="106">
        <v>7581975035</v>
      </c>
      <c r="E43" s="107">
        <v>7.1242793790512295E-3</v>
      </c>
      <c r="F43" s="106">
        <v>3192992557</v>
      </c>
      <c r="G43" s="107">
        <v>1.3613751887361495E-2</v>
      </c>
      <c r="H43" s="106">
        <v>2727021045</v>
      </c>
      <c r="I43" s="107">
        <v>1.3072272455244505E-2</v>
      </c>
    </row>
    <row r="44" spans="1:9">
      <c r="A44" s="109" t="s">
        <v>105</v>
      </c>
      <c r="B44" s="105">
        <v>417</v>
      </c>
      <c r="C44" s="118">
        <v>1269502</v>
      </c>
      <c r="D44" s="106">
        <v>202615878</v>
      </c>
      <c r="E44" s="107">
        <v>1.903847104270714E-4</v>
      </c>
      <c r="F44" s="106">
        <v>81453938</v>
      </c>
      <c r="G44" s="107">
        <v>3.4728978611287323E-4</v>
      </c>
      <c r="H44" s="106">
        <v>68192878</v>
      </c>
      <c r="I44" s="107">
        <v>3.2688998948420249E-4</v>
      </c>
    </row>
    <row r="45" spans="1:9">
      <c r="A45" s="109" t="s">
        <v>106</v>
      </c>
      <c r="B45" s="105">
        <v>234</v>
      </c>
      <c r="C45" s="120">
        <v>19725691</v>
      </c>
      <c r="D45" s="106">
        <v>1796658588</v>
      </c>
      <c r="E45" s="107">
        <v>1.6882009859695744E-3</v>
      </c>
      <c r="F45" s="106">
        <v>603699810</v>
      </c>
      <c r="G45" s="107">
        <v>2.5739550847901573E-3</v>
      </c>
      <c r="H45" s="106">
        <v>520009773</v>
      </c>
      <c r="I45" s="107">
        <v>2.492723495665523E-3</v>
      </c>
    </row>
    <row r="46" spans="1:9">
      <c r="A46" s="109" t="s">
        <v>107</v>
      </c>
      <c r="B46" s="105">
        <v>4443</v>
      </c>
      <c r="C46" s="118">
        <v>767283</v>
      </c>
      <c r="D46" s="106">
        <v>104546219</v>
      </c>
      <c r="E46" s="107">
        <v>9.8235152284364369E-5</v>
      </c>
      <c r="F46" s="106">
        <v>41821153</v>
      </c>
      <c r="G46" s="107">
        <v>1.7831009325004947E-4</v>
      </c>
      <c r="H46" s="106">
        <v>35951670</v>
      </c>
      <c r="I46" s="107">
        <v>1.7233824664563237E-4</v>
      </c>
    </row>
    <row r="47" spans="1:9">
      <c r="A47" s="109" t="s">
        <v>108</v>
      </c>
      <c r="B47" s="105">
        <v>10422</v>
      </c>
      <c r="C47" s="118">
        <v>40439300</v>
      </c>
      <c r="D47" s="106">
        <v>6916091686</v>
      </c>
      <c r="E47" s="107">
        <v>6.4985929332062814E-3</v>
      </c>
      <c r="F47" s="106">
        <v>2996279575</v>
      </c>
      <c r="G47" s="107">
        <v>1.27750397130722E-2</v>
      </c>
      <c r="H47" s="106">
        <v>2599821232</v>
      </c>
      <c r="I47" s="107">
        <v>1.2462526294744246E-2</v>
      </c>
    </row>
    <row r="48" spans="1:9">
      <c r="A48" s="109" t="s">
        <v>109</v>
      </c>
      <c r="B48" s="105">
        <v>15705</v>
      </c>
      <c r="C48" s="118">
        <v>14489641</v>
      </c>
      <c r="D48" s="106">
        <v>1916446810</v>
      </c>
      <c r="E48" s="107">
        <v>1.8007580381767254E-3</v>
      </c>
      <c r="F48" s="106">
        <v>632052105</v>
      </c>
      <c r="G48" s="107">
        <v>2.6948388960352206E-3</v>
      </c>
      <c r="H48" s="106">
        <v>556861134</v>
      </c>
      <c r="I48" s="107">
        <v>2.6693745091301334E-3</v>
      </c>
    </row>
    <row r="49" spans="1:9">
      <c r="A49" s="109" t="s">
        <v>110</v>
      </c>
      <c r="B49" s="105">
        <v>1211</v>
      </c>
      <c r="C49" s="118">
        <v>45640074</v>
      </c>
      <c r="D49" s="106">
        <v>7814114280</v>
      </c>
      <c r="E49" s="107">
        <v>7.3424052405302786E-3</v>
      </c>
      <c r="F49" s="106">
        <v>2481546019</v>
      </c>
      <c r="G49" s="107">
        <v>1.0580404180922008E-2</v>
      </c>
      <c r="H49" s="106">
        <v>2194148149</v>
      </c>
      <c r="I49" s="107">
        <v>1.0517888178196445E-2</v>
      </c>
    </row>
    <row r="50" spans="1:9">
      <c r="A50" s="109" t="s">
        <v>111</v>
      </c>
      <c r="B50" s="105">
        <v>150</v>
      </c>
      <c r="C50" s="118">
        <v>6635058</v>
      </c>
      <c r="D50" s="106">
        <v>1030379741</v>
      </c>
      <c r="E50" s="107">
        <v>9.6817954523882794E-4</v>
      </c>
      <c r="F50" s="106">
        <v>434022796</v>
      </c>
      <c r="G50" s="107">
        <v>1.8505143850865899E-3</v>
      </c>
      <c r="H50" s="106">
        <v>380558578</v>
      </c>
      <c r="I50" s="107">
        <v>1.8242490009080282E-3</v>
      </c>
    </row>
    <row r="51" spans="1:9">
      <c r="A51" s="109" t="s">
        <v>112</v>
      </c>
      <c r="B51" s="105">
        <v>747</v>
      </c>
      <c r="C51" s="118">
        <v>9474768</v>
      </c>
      <c r="D51" s="106">
        <v>2061697374</v>
      </c>
      <c r="E51" s="107">
        <v>1.9372403654231065E-3</v>
      </c>
      <c r="F51" s="106">
        <v>706083017</v>
      </c>
      <c r="G51" s="107">
        <v>3.0104796155081201E-3</v>
      </c>
      <c r="H51" s="106">
        <v>609776622</v>
      </c>
      <c r="I51" s="107">
        <v>2.9230306653620416E-3</v>
      </c>
    </row>
    <row r="52" spans="1:9">
      <c r="A52" s="109" t="s">
        <v>113</v>
      </c>
      <c r="B52" s="105">
        <v>262</v>
      </c>
      <c r="C52" s="118">
        <v>1991855</v>
      </c>
      <c r="D52" s="106">
        <v>442607199</v>
      </c>
      <c r="E52" s="107">
        <v>4.1588864725869201E-4</v>
      </c>
      <c r="F52" s="106">
        <v>128915107</v>
      </c>
      <c r="G52" s="107">
        <v>5.4964684379959832E-4</v>
      </c>
      <c r="H52" s="106">
        <v>112207504</v>
      </c>
      <c r="I52" s="107">
        <v>5.3787889407759873E-4</v>
      </c>
    </row>
    <row r="53" spans="1:9">
      <c r="A53" s="109" t="s">
        <v>114</v>
      </c>
      <c r="B53" s="105">
        <v>857</v>
      </c>
      <c r="C53" s="118">
        <v>68840924</v>
      </c>
      <c r="D53" s="106">
        <v>22907501510</v>
      </c>
      <c r="E53" s="107">
        <v>2.1524660775050667E-2</v>
      </c>
      <c r="F53" s="106">
        <v>9438716347</v>
      </c>
      <c r="G53" s="107">
        <v>4.0243232700789867E-2</v>
      </c>
      <c r="H53" s="106">
        <v>8160851543</v>
      </c>
      <c r="I53" s="107">
        <v>3.9119930897672447E-2</v>
      </c>
    </row>
    <row r="54" spans="1:9">
      <c r="A54" s="109" t="s">
        <v>115</v>
      </c>
      <c r="B54" s="105">
        <v>1602</v>
      </c>
      <c r="C54" s="118">
        <v>15050745</v>
      </c>
      <c r="D54" s="106">
        <v>6855190805</v>
      </c>
      <c r="E54" s="107">
        <v>6.4413684120661436E-3</v>
      </c>
      <c r="F54" s="106">
        <v>3023929283</v>
      </c>
      <c r="G54" s="107">
        <v>1.2892927950438985E-2</v>
      </c>
      <c r="H54" s="106">
        <v>2591321131</v>
      </c>
      <c r="I54" s="107">
        <v>1.2421780134617309E-2</v>
      </c>
    </row>
    <row r="55" spans="1:9">
      <c r="A55" s="109" t="s">
        <v>116</v>
      </c>
      <c r="B55" s="105">
        <v>387</v>
      </c>
      <c r="C55" s="118">
        <v>98507</v>
      </c>
      <c r="D55" s="106">
        <v>8428540</v>
      </c>
      <c r="E55" s="107">
        <v>7.9197403632058313E-6</v>
      </c>
      <c r="F55" s="106">
        <v>1197651</v>
      </c>
      <c r="G55" s="107">
        <v>5.1063456211026747E-6</v>
      </c>
      <c r="H55" s="106">
        <v>1051930</v>
      </c>
      <c r="I55" s="107">
        <v>5.0425410500802903E-6</v>
      </c>
    </row>
    <row r="56" spans="1:9">
      <c r="A56" s="109" t="s">
        <v>117</v>
      </c>
      <c r="B56" s="105">
        <v>435</v>
      </c>
      <c r="C56" s="118">
        <v>1159311</v>
      </c>
      <c r="D56" s="106">
        <v>239668150</v>
      </c>
      <c r="E56" s="107">
        <v>2.2520027446388933E-4</v>
      </c>
      <c r="F56" s="106">
        <v>106032473</v>
      </c>
      <c r="G56" s="107">
        <v>4.520836656072909E-4</v>
      </c>
      <c r="H56" s="106">
        <v>84010553</v>
      </c>
      <c r="I56" s="107">
        <v>4.0271373774152831E-4</v>
      </c>
    </row>
    <row r="57" spans="1:9">
      <c r="A57" s="109" t="s">
        <v>118</v>
      </c>
      <c r="B57" s="105">
        <v>6909</v>
      </c>
      <c r="C57" s="108">
        <v>0</v>
      </c>
      <c r="D57" s="106">
        <v>8050765029</v>
      </c>
      <c r="E57" s="107">
        <v>7.5647702632789622E-3</v>
      </c>
      <c r="F57" s="106">
        <v>3141998957</v>
      </c>
      <c r="G57" s="107">
        <v>1.3396333836473331E-2</v>
      </c>
      <c r="H57" s="106">
        <v>3065072671</v>
      </c>
      <c r="I57" s="107">
        <v>1.4692759751121026E-2</v>
      </c>
    </row>
    <row r="58" spans="1:9">
      <c r="A58" s="109" t="s">
        <v>86</v>
      </c>
      <c r="B58" s="105">
        <v>4714</v>
      </c>
      <c r="C58" s="108">
        <v>0</v>
      </c>
      <c r="D58" s="106">
        <v>3265961952</v>
      </c>
      <c r="E58" s="107">
        <v>3.0688079662609309E-3</v>
      </c>
      <c r="F58" s="106">
        <v>1461102925</v>
      </c>
      <c r="G58" s="107">
        <v>6.2296082273166891E-3</v>
      </c>
      <c r="H58" s="106">
        <v>1161590458</v>
      </c>
      <c r="I58" s="107">
        <v>5.568210401686962E-3</v>
      </c>
    </row>
    <row r="59" spans="1:9">
      <c r="A59" s="121" t="s">
        <v>87</v>
      </c>
      <c r="B59" s="122">
        <v>3795</v>
      </c>
      <c r="C59" s="123">
        <v>22082598</v>
      </c>
      <c r="D59" s="124">
        <v>3871176373</v>
      </c>
      <c r="E59" s="125">
        <v>3.6374878418251387E-3</v>
      </c>
      <c r="F59" s="124">
        <v>1113260276</v>
      </c>
      <c r="G59" s="125">
        <v>4.7465344541107179E-3</v>
      </c>
      <c r="H59" s="124">
        <v>998339993</v>
      </c>
      <c r="I59" s="125">
        <v>4.7856515135411767E-3</v>
      </c>
    </row>
    <row r="60" spans="1:9">
      <c r="A60" s="133"/>
      <c r="B60" s="152"/>
      <c r="C60" s="148"/>
    </row>
  </sheetData>
  <mergeCells count="6">
    <mergeCell ref="H8:I8"/>
    <mergeCell ref="A1:I1"/>
    <mergeCell ref="A2:I2"/>
    <mergeCell ref="A3:I3"/>
    <mergeCell ref="A5:I5"/>
    <mergeCell ref="F7:I7"/>
  </mergeCells>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L66"/>
  <sheetViews>
    <sheetView showGridLines="0" workbookViewId="0"/>
  </sheetViews>
  <sheetFormatPr defaultRowHeight="15"/>
  <cols>
    <col min="1" max="5" width="11.140625" customWidth="1"/>
    <col min="6" max="6" width="16.140625" bestFit="1" customWidth="1"/>
    <col min="7" max="8" width="11.140625" customWidth="1"/>
    <col min="9" max="9" width="16.140625" bestFit="1" customWidth="1"/>
    <col min="10" max="11" width="11.140625" customWidth="1"/>
    <col min="12" max="12" width="13.5703125" bestFit="1" customWidth="1"/>
  </cols>
  <sheetData>
    <row r="1" spans="1:12" ht="20.25">
      <c r="A1" s="18"/>
      <c r="B1" s="1042" t="s">
        <v>322</v>
      </c>
      <c r="C1" s="1042"/>
      <c r="D1" s="1042"/>
      <c r="E1" s="1042"/>
      <c r="F1" s="1042"/>
      <c r="G1" s="1042"/>
      <c r="H1" s="1042"/>
      <c r="I1" s="1042"/>
      <c r="J1" s="1042"/>
      <c r="K1" s="1042"/>
      <c r="L1" s="1042"/>
    </row>
    <row r="2" spans="1:12" ht="20.25">
      <c r="A2" s="18"/>
      <c r="B2" s="1042" t="s">
        <v>69</v>
      </c>
      <c r="C2" s="1042"/>
      <c r="D2" s="1042"/>
      <c r="E2" s="1042"/>
      <c r="F2" s="1042"/>
      <c r="G2" s="1042"/>
      <c r="H2" s="1042"/>
      <c r="I2" s="1042"/>
      <c r="J2" s="1042"/>
      <c r="K2" s="1042"/>
      <c r="L2" s="1042"/>
    </row>
    <row r="3" spans="1:12" ht="21" thickBot="1">
      <c r="A3" s="18"/>
      <c r="B3" s="495"/>
      <c r="C3" s="495"/>
      <c r="D3" s="495"/>
      <c r="E3" s="495"/>
      <c r="F3" s="495"/>
      <c r="G3" s="495"/>
      <c r="H3" s="495"/>
      <c r="I3" s="495"/>
      <c r="J3" s="495"/>
      <c r="K3" s="495"/>
      <c r="L3" s="495"/>
    </row>
    <row r="4" spans="1:12">
      <c r="A4" s="18"/>
      <c r="B4" s="1043" t="s">
        <v>323</v>
      </c>
      <c r="C4" s="1044"/>
      <c r="D4" s="496" t="s">
        <v>324</v>
      </c>
      <c r="E4" s="1045" t="s">
        <v>33</v>
      </c>
      <c r="F4" s="1046"/>
      <c r="G4" s="496" t="s">
        <v>324</v>
      </c>
      <c r="H4" s="1045" t="s">
        <v>42</v>
      </c>
      <c r="I4" s="1046"/>
      <c r="J4" s="496" t="s">
        <v>324</v>
      </c>
      <c r="K4" s="1045" t="s">
        <v>43</v>
      </c>
      <c r="L4" s="1047"/>
    </row>
    <row r="5" spans="1:12" ht="15.75" thickBot="1">
      <c r="B5" s="1040" t="s">
        <v>325</v>
      </c>
      <c r="C5" s="1041"/>
      <c r="D5" s="497" t="s">
        <v>326</v>
      </c>
      <c r="E5" s="497" t="s">
        <v>327</v>
      </c>
      <c r="F5" s="498" t="s">
        <v>323</v>
      </c>
      <c r="G5" s="497" t="s">
        <v>326</v>
      </c>
      <c r="H5" s="497" t="s">
        <v>327</v>
      </c>
      <c r="I5" s="498" t="s">
        <v>323</v>
      </c>
      <c r="J5" s="497" t="s">
        <v>326</v>
      </c>
      <c r="K5" s="497" t="s">
        <v>327</v>
      </c>
      <c r="L5" s="499" t="s">
        <v>323</v>
      </c>
    </row>
    <row r="6" spans="1:12" ht="15.75">
      <c r="B6" s="500"/>
      <c r="C6" s="501"/>
      <c r="D6" s="502"/>
      <c r="E6" s="502"/>
      <c r="F6" s="503"/>
      <c r="G6" s="502"/>
      <c r="H6" s="502"/>
      <c r="I6" s="503"/>
      <c r="J6" s="502"/>
      <c r="K6" s="502"/>
      <c r="L6" s="504"/>
    </row>
    <row r="7" spans="1:12" ht="15.75">
      <c r="B7" s="505" t="s">
        <v>89</v>
      </c>
      <c r="C7" s="501"/>
      <c r="D7" s="502"/>
      <c r="E7" s="502"/>
      <c r="F7" s="503"/>
      <c r="G7" s="502"/>
      <c r="H7" s="502"/>
      <c r="I7" s="503"/>
      <c r="J7" s="502"/>
      <c r="K7" s="502"/>
      <c r="L7" s="504"/>
    </row>
    <row r="8" spans="1:12" ht="15.75">
      <c r="B8" s="505"/>
      <c r="C8" s="506" t="s">
        <v>328</v>
      </c>
      <c r="D8" s="507">
        <v>2374</v>
      </c>
      <c r="E8" s="507">
        <v>123696</v>
      </c>
      <c r="F8" s="508">
        <v>100777946</v>
      </c>
      <c r="G8" s="507">
        <v>393</v>
      </c>
      <c r="H8" s="507">
        <v>9977</v>
      </c>
      <c r="I8" s="508">
        <v>11634968</v>
      </c>
      <c r="J8" s="507">
        <v>202</v>
      </c>
      <c r="K8" s="507">
        <v>12528</v>
      </c>
      <c r="L8" s="509">
        <v>8825945</v>
      </c>
    </row>
    <row r="9" spans="1:12" ht="15.75">
      <c r="B9" s="505"/>
      <c r="C9" s="506" t="s">
        <v>329</v>
      </c>
      <c r="D9" s="507">
        <v>185</v>
      </c>
      <c r="E9" s="507">
        <v>5176</v>
      </c>
      <c r="F9" s="508">
        <v>7239379</v>
      </c>
      <c r="G9" s="507">
        <v>116</v>
      </c>
      <c r="H9" s="507">
        <v>3087</v>
      </c>
      <c r="I9" s="508">
        <v>4451203</v>
      </c>
      <c r="J9" s="507">
        <v>1</v>
      </c>
      <c r="K9" s="507">
        <v>150</v>
      </c>
      <c r="L9" s="509">
        <v>214039</v>
      </c>
    </row>
    <row r="10" spans="1:12" ht="15.75">
      <c r="B10" s="505"/>
      <c r="C10" s="506" t="s">
        <v>330</v>
      </c>
      <c r="D10" s="507">
        <v>168</v>
      </c>
      <c r="E10" s="507">
        <v>5911</v>
      </c>
      <c r="F10" s="508">
        <v>8147065</v>
      </c>
      <c r="G10" s="507">
        <v>120</v>
      </c>
      <c r="H10" s="507">
        <v>5145</v>
      </c>
      <c r="I10" s="508">
        <v>7104633</v>
      </c>
      <c r="J10" s="507">
        <v>0</v>
      </c>
      <c r="K10" s="507">
        <v>0</v>
      </c>
      <c r="L10" s="504">
        <v>0</v>
      </c>
    </row>
    <row r="11" spans="1:12" ht="16.5" thickBot="1">
      <c r="B11" s="505"/>
      <c r="C11" s="506" t="s">
        <v>331</v>
      </c>
      <c r="D11" s="507">
        <v>2388</v>
      </c>
      <c r="E11" s="507">
        <v>104282</v>
      </c>
      <c r="F11" s="508">
        <v>257937413</v>
      </c>
      <c r="G11" s="507">
        <v>2206</v>
      </c>
      <c r="H11" s="507">
        <v>98730</v>
      </c>
      <c r="I11" s="508">
        <v>250067486</v>
      </c>
      <c r="J11" s="507">
        <v>0</v>
      </c>
      <c r="K11" s="507">
        <v>0</v>
      </c>
      <c r="L11" s="504">
        <v>0</v>
      </c>
    </row>
    <row r="12" spans="1:12" ht="16.5" thickTop="1">
      <c r="B12" s="510"/>
      <c r="C12" s="511" t="s">
        <v>120</v>
      </c>
      <c r="D12" s="512">
        <v>5115</v>
      </c>
      <c r="E12" s="512">
        <v>239065</v>
      </c>
      <c r="F12" s="513">
        <v>374101803</v>
      </c>
      <c r="G12" s="512">
        <v>2835</v>
      </c>
      <c r="H12" s="512">
        <v>116939</v>
      </c>
      <c r="I12" s="513">
        <v>273258290</v>
      </c>
      <c r="J12" s="512">
        <v>203</v>
      </c>
      <c r="K12" s="512">
        <v>12678</v>
      </c>
      <c r="L12" s="514">
        <v>9039984</v>
      </c>
    </row>
    <row r="13" spans="1:12" ht="15.75">
      <c r="B13" s="505"/>
      <c r="C13" s="515"/>
      <c r="D13" s="502"/>
      <c r="E13" s="502"/>
      <c r="F13" s="503"/>
      <c r="G13" s="502"/>
      <c r="H13" s="502"/>
      <c r="I13" s="503"/>
      <c r="J13" s="502"/>
      <c r="K13" s="502"/>
      <c r="L13" s="504"/>
    </row>
    <row r="14" spans="1:12" ht="15.75">
      <c r="B14" s="505" t="s">
        <v>85</v>
      </c>
      <c r="C14" s="515"/>
      <c r="D14" s="502"/>
      <c r="E14" s="502"/>
      <c r="F14" s="503"/>
      <c r="G14" s="502"/>
      <c r="H14" s="502"/>
      <c r="I14" s="503"/>
      <c r="J14" s="502"/>
      <c r="K14" s="502"/>
      <c r="L14" s="504"/>
    </row>
    <row r="15" spans="1:12" ht="15.75">
      <c r="B15" s="505"/>
      <c r="C15" s="506" t="s">
        <v>328</v>
      </c>
      <c r="D15" s="507">
        <v>358</v>
      </c>
      <c r="E15" s="507">
        <v>14041</v>
      </c>
      <c r="F15" s="508">
        <v>14462857</v>
      </c>
      <c r="G15" s="507">
        <v>67</v>
      </c>
      <c r="H15" s="507">
        <v>2249</v>
      </c>
      <c r="I15" s="508">
        <v>4218408</v>
      </c>
      <c r="J15" s="507">
        <v>14</v>
      </c>
      <c r="K15" s="507">
        <v>409</v>
      </c>
      <c r="L15" s="509">
        <v>341233</v>
      </c>
    </row>
    <row r="16" spans="1:12" ht="15.75">
      <c r="B16" s="505"/>
      <c r="C16" s="506" t="s">
        <v>329</v>
      </c>
      <c r="D16" s="507">
        <v>40</v>
      </c>
      <c r="E16" s="507">
        <v>1015</v>
      </c>
      <c r="F16" s="508">
        <v>1540600</v>
      </c>
      <c r="G16" s="507">
        <v>21</v>
      </c>
      <c r="H16" s="507">
        <v>492</v>
      </c>
      <c r="I16" s="508">
        <v>749783</v>
      </c>
      <c r="J16" s="507">
        <v>1</v>
      </c>
      <c r="K16" s="507">
        <v>139</v>
      </c>
      <c r="L16" s="509">
        <v>227863</v>
      </c>
    </row>
    <row r="17" spans="1:12" ht="15.75">
      <c r="B17" s="505"/>
      <c r="C17" s="506" t="s">
        <v>330</v>
      </c>
      <c r="D17" s="507">
        <v>41</v>
      </c>
      <c r="E17" s="507">
        <v>890</v>
      </c>
      <c r="F17" s="508">
        <v>1322069</v>
      </c>
      <c r="G17" s="507">
        <v>26</v>
      </c>
      <c r="H17" s="507">
        <v>590</v>
      </c>
      <c r="I17" s="508">
        <v>875428</v>
      </c>
      <c r="J17" s="507">
        <v>1</v>
      </c>
      <c r="K17" s="507">
        <v>30</v>
      </c>
      <c r="L17" s="509">
        <v>34616</v>
      </c>
    </row>
    <row r="18" spans="1:12" ht="16.5" thickBot="1">
      <c r="B18" s="505"/>
      <c r="C18" s="506" t="s">
        <v>331</v>
      </c>
      <c r="D18" s="507">
        <v>995</v>
      </c>
      <c r="E18" s="507">
        <v>33656</v>
      </c>
      <c r="F18" s="508">
        <v>95328228</v>
      </c>
      <c r="G18" s="507">
        <v>917</v>
      </c>
      <c r="H18" s="507">
        <v>32790</v>
      </c>
      <c r="I18" s="508">
        <v>93972565</v>
      </c>
      <c r="J18" s="507">
        <v>0</v>
      </c>
      <c r="K18" s="507">
        <v>0</v>
      </c>
      <c r="L18" s="504">
        <v>0</v>
      </c>
    </row>
    <row r="19" spans="1:12" ht="16.5" thickTop="1">
      <c r="B19" s="510"/>
      <c r="C19" s="511" t="s">
        <v>120</v>
      </c>
      <c r="D19" s="512">
        <v>1434</v>
      </c>
      <c r="E19" s="512">
        <v>49602</v>
      </c>
      <c r="F19" s="513">
        <v>112653754</v>
      </c>
      <c r="G19" s="512">
        <v>1031</v>
      </c>
      <c r="H19" s="512">
        <v>36121</v>
      </c>
      <c r="I19" s="513">
        <v>99816184</v>
      </c>
      <c r="J19" s="512">
        <v>16</v>
      </c>
      <c r="K19" s="512">
        <v>578</v>
      </c>
      <c r="L19" s="514">
        <v>603712</v>
      </c>
    </row>
    <row r="20" spans="1:12" ht="15.75">
      <c r="B20" s="510"/>
      <c r="C20" s="516"/>
      <c r="D20" s="502"/>
      <c r="E20" s="502"/>
      <c r="F20" s="503"/>
      <c r="G20" s="502"/>
      <c r="H20" s="502"/>
      <c r="I20" s="503"/>
      <c r="J20" s="502"/>
      <c r="K20" s="502"/>
      <c r="L20" s="504"/>
    </row>
    <row r="21" spans="1:12" ht="15.75">
      <c r="B21" s="505" t="s">
        <v>332</v>
      </c>
      <c r="C21" s="516"/>
      <c r="D21" s="502"/>
      <c r="E21" s="502"/>
      <c r="F21" s="503"/>
      <c r="G21" s="502"/>
      <c r="H21" s="502"/>
      <c r="I21" s="503"/>
      <c r="J21" s="502"/>
      <c r="K21" s="502"/>
      <c r="L21" s="504"/>
    </row>
    <row r="22" spans="1:12" ht="15.75">
      <c r="B22" s="510"/>
      <c r="C22" s="506" t="s">
        <v>328</v>
      </c>
      <c r="D22" s="507">
        <v>2732</v>
      </c>
      <c r="E22" s="507">
        <v>137737</v>
      </c>
      <c r="F22" s="508">
        <v>115240803</v>
      </c>
      <c r="G22" s="507">
        <v>460</v>
      </c>
      <c r="H22" s="507">
        <v>12226</v>
      </c>
      <c r="I22" s="508">
        <v>15853376</v>
      </c>
      <c r="J22" s="507">
        <v>216</v>
      </c>
      <c r="K22" s="507">
        <v>12937</v>
      </c>
      <c r="L22" s="509">
        <v>9167178</v>
      </c>
    </row>
    <row r="23" spans="1:12" ht="15.75">
      <c r="B23" s="510"/>
      <c r="C23" s="506" t="s">
        <v>329</v>
      </c>
      <c r="D23" s="507">
        <v>225</v>
      </c>
      <c r="E23" s="507">
        <v>6191</v>
      </c>
      <c r="F23" s="508">
        <v>8779979</v>
      </c>
      <c r="G23" s="507">
        <v>137</v>
      </c>
      <c r="H23" s="507">
        <v>3579</v>
      </c>
      <c r="I23" s="508">
        <v>5200986</v>
      </c>
      <c r="J23" s="507">
        <v>2</v>
      </c>
      <c r="K23" s="507">
        <v>289</v>
      </c>
      <c r="L23" s="509">
        <v>441902</v>
      </c>
    </row>
    <row r="24" spans="1:12" ht="15.75">
      <c r="B24" s="510"/>
      <c r="C24" s="506" t="s">
        <v>330</v>
      </c>
      <c r="D24" s="507">
        <v>209</v>
      </c>
      <c r="E24" s="507">
        <v>6801</v>
      </c>
      <c r="F24" s="508">
        <v>9469134</v>
      </c>
      <c r="G24" s="507">
        <v>146</v>
      </c>
      <c r="H24" s="507">
        <v>5735</v>
      </c>
      <c r="I24" s="508">
        <v>7980061</v>
      </c>
      <c r="J24" s="507">
        <v>1</v>
      </c>
      <c r="K24" s="507">
        <v>30</v>
      </c>
      <c r="L24" s="509">
        <v>34616</v>
      </c>
    </row>
    <row r="25" spans="1:12" ht="16.5" thickBot="1">
      <c r="B25" s="510"/>
      <c r="C25" s="506" t="s">
        <v>331</v>
      </c>
      <c r="D25" s="507">
        <v>3383</v>
      </c>
      <c r="E25" s="507">
        <v>137938</v>
      </c>
      <c r="F25" s="508">
        <v>353265641</v>
      </c>
      <c r="G25" s="507">
        <v>3123</v>
      </c>
      <c r="H25" s="507">
        <v>131520</v>
      </c>
      <c r="I25" s="508">
        <v>344040051</v>
      </c>
      <c r="J25" s="507">
        <v>0</v>
      </c>
      <c r="K25" s="507">
        <v>0</v>
      </c>
      <c r="L25" s="504">
        <v>0</v>
      </c>
    </row>
    <row r="26" spans="1:12" ht="16.5" thickTop="1">
      <c r="A26" s="447"/>
      <c r="B26" s="517"/>
      <c r="C26" s="518" t="s">
        <v>333</v>
      </c>
      <c r="D26" s="519">
        <v>6549</v>
      </c>
      <c r="E26" s="519">
        <v>288667</v>
      </c>
      <c r="F26" s="513">
        <v>486755557</v>
      </c>
      <c r="G26" s="519">
        <v>3866</v>
      </c>
      <c r="H26" s="519">
        <v>153060</v>
      </c>
      <c r="I26" s="513">
        <v>373074474</v>
      </c>
      <c r="J26" s="519">
        <v>219</v>
      </c>
      <c r="K26" s="519">
        <v>13256</v>
      </c>
      <c r="L26" s="514">
        <v>9643696</v>
      </c>
    </row>
    <row r="27" spans="1:12" ht="16.5" thickBot="1">
      <c r="B27" s="520"/>
      <c r="C27" s="521"/>
      <c r="D27" s="522"/>
      <c r="E27" s="522"/>
      <c r="F27" s="523"/>
      <c r="G27" s="522"/>
      <c r="H27" s="524"/>
      <c r="I27" s="525"/>
      <c r="J27" s="522"/>
      <c r="K27" s="524"/>
      <c r="L27" s="526"/>
    </row>
    <row r="28" spans="1:12">
      <c r="B28" s="527"/>
      <c r="C28" s="527"/>
      <c r="D28" s="527"/>
      <c r="E28" s="528"/>
      <c r="F28" s="528"/>
      <c r="G28" s="527"/>
      <c r="H28" s="528"/>
      <c r="I28" s="527"/>
      <c r="J28" s="527"/>
      <c r="K28" s="528"/>
      <c r="L28" s="527"/>
    </row>
    <row r="29" spans="1:12" ht="15.75" thickBot="1">
      <c r="B29" s="527"/>
      <c r="C29" s="527"/>
      <c r="D29" s="527"/>
      <c r="E29" s="527"/>
      <c r="F29" s="528"/>
      <c r="G29" s="527"/>
      <c r="H29" s="527"/>
      <c r="I29" s="527"/>
      <c r="J29" s="527"/>
      <c r="K29" s="527"/>
      <c r="L29" s="527"/>
    </row>
    <row r="30" spans="1:12">
      <c r="B30" s="1043" t="s">
        <v>323</v>
      </c>
      <c r="C30" s="1044"/>
      <c r="D30" s="496" t="s">
        <v>324</v>
      </c>
      <c r="E30" s="1045" t="s">
        <v>44</v>
      </c>
      <c r="F30" s="1046"/>
      <c r="G30" s="496" t="s">
        <v>324</v>
      </c>
      <c r="H30" s="1045" t="s">
        <v>45</v>
      </c>
      <c r="I30" s="1046"/>
      <c r="J30" s="496" t="s">
        <v>324</v>
      </c>
      <c r="K30" s="1045" t="s">
        <v>46</v>
      </c>
      <c r="L30" s="1047"/>
    </row>
    <row r="31" spans="1:12" ht="15.75" thickBot="1">
      <c r="B31" s="1040" t="s">
        <v>325</v>
      </c>
      <c r="C31" s="1041"/>
      <c r="D31" s="497" t="s">
        <v>326</v>
      </c>
      <c r="E31" s="497" t="s">
        <v>327</v>
      </c>
      <c r="F31" s="498" t="s">
        <v>323</v>
      </c>
      <c r="G31" s="497" t="s">
        <v>326</v>
      </c>
      <c r="H31" s="497" t="s">
        <v>327</v>
      </c>
      <c r="I31" s="498" t="s">
        <v>323</v>
      </c>
      <c r="J31" s="497" t="s">
        <v>326</v>
      </c>
      <c r="K31" s="497" t="s">
        <v>327</v>
      </c>
      <c r="L31" s="499" t="s">
        <v>323</v>
      </c>
    </row>
    <row r="32" spans="1:12">
      <c r="B32" s="529"/>
      <c r="C32" s="530"/>
      <c r="D32" s="531"/>
      <c r="E32" s="531"/>
      <c r="F32" s="532"/>
      <c r="G32" s="531"/>
      <c r="H32" s="531"/>
      <c r="I32" s="532"/>
      <c r="J32" s="531"/>
      <c r="K32" s="531"/>
      <c r="L32" s="533"/>
    </row>
    <row r="33" spans="2:12" ht="15.75">
      <c r="B33" s="505" t="s">
        <v>89</v>
      </c>
      <c r="C33" s="501"/>
      <c r="D33" s="502"/>
      <c r="E33" s="502"/>
      <c r="F33" s="503"/>
      <c r="G33" s="502"/>
      <c r="H33" s="502"/>
      <c r="I33" s="503"/>
      <c r="J33" s="502"/>
      <c r="K33" s="502"/>
      <c r="L33" s="504"/>
    </row>
    <row r="34" spans="2:12" ht="15.75">
      <c r="B34" s="505"/>
      <c r="C34" s="506" t="s">
        <v>328</v>
      </c>
      <c r="D34" s="507">
        <v>1016</v>
      </c>
      <c r="E34" s="507">
        <v>32646</v>
      </c>
      <c r="F34" s="508">
        <v>26242415</v>
      </c>
      <c r="G34" s="507">
        <v>745</v>
      </c>
      <c r="H34" s="507">
        <v>67244</v>
      </c>
      <c r="I34" s="508">
        <v>53427397</v>
      </c>
      <c r="J34" s="507">
        <v>18</v>
      </c>
      <c r="K34" s="507">
        <v>1301</v>
      </c>
      <c r="L34" s="509">
        <v>647221</v>
      </c>
    </row>
    <row r="35" spans="2:12" ht="15.75">
      <c r="B35" s="505"/>
      <c r="C35" s="506" t="s">
        <v>329</v>
      </c>
      <c r="D35" s="507">
        <v>62</v>
      </c>
      <c r="E35" s="507">
        <v>1344</v>
      </c>
      <c r="F35" s="508">
        <v>1792470</v>
      </c>
      <c r="G35" s="507">
        <v>6</v>
      </c>
      <c r="H35" s="507">
        <v>595</v>
      </c>
      <c r="I35" s="508">
        <v>781667</v>
      </c>
      <c r="J35" s="507">
        <v>0</v>
      </c>
      <c r="K35" s="507">
        <v>0</v>
      </c>
      <c r="L35" s="509">
        <v>0</v>
      </c>
    </row>
    <row r="36" spans="2:12" ht="15.75">
      <c r="B36" s="505"/>
      <c r="C36" s="506" t="s">
        <v>330</v>
      </c>
      <c r="D36" s="507">
        <v>47</v>
      </c>
      <c r="E36" s="507">
        <v>733</v>
      </c>
      <c r="F36" s="508">
        <v>1002163</v>
      </c>
      <c r="G36" s="507">
        <v>1</v>
      </c>
      <c r="H36" s="507">
        <v>33</v>
      </c>
      <c r="I36" s="508">
        <v>40269</v>
      </c>
      <c r="J36" s="507">
        <v>0</v>
      </c>
      <c r="K36" s="507">
        <v>0</v>
      </c>
      <c r="L36" s="509">
        <v>0</v>
      </c>
    </row>
    <row r="37" spans="2:12" ht="16.5" thickBot="1">
      <c r="B37" s="505"/>
      <c r="C37" s="506" t="s">
        <v>331</v>
      </c>
      <c r="D37" s="507">
        <v>175</v>
      </c>
      <c r="E37" s="507">
        <v>3504</v>
      </c>
      <c r="F37" s="508">
        <v>4909714</v>
      </c>
      <c r="G37" s="507">
        <v>7</v>
      </c>
      <c r="H37" s="507">
        <v>2048</v>
      </c>
      <c r="I37" s="508">
        <v>2960213</v>
      </c>
      <c r="J37" s="507">
        <v>0</v>
      </c>
      <c r="K37" s="507">
        <v>0</v>
      </c>
      <c r="L37" s="504">
        <v>0</v>
      </c>
    </row>
    <row r="38" spans="2:12" ht="16.5" thickTop="1">
      <c r="B38" s="510"/>
      <c r="C38" s="511" t="s">
        <v>120</v>
      </c>
      <c r="D38" s="512">
        <v>1300</v>
      </c>
      <c r="E38" s="512">
        <v>38227</v>
      </c>
      <c r="F38" s="513">
        <v>33946762</v>
      </c>
      <c r="G38" s="512">
        <v>759</v>
      </c>
      <c r="H38" s="512">
        <v>69920</v>
      </c>
      <c r="I38" s="513">
        <v>57209546</v>
      </c>
      <c r="J38" s="512">
        <v>18</v>
      </c>
      <c r="K38" s="512">
        <v>1301</v>
      </c>
      <c r="L38" s="514">
        <v>647221</v>
      </c>
    </row>
    <row r="39" spans="2:12" ht="15.75">
      <c r="B39" s="505"/>
      <c r="C39" s="515"/>
      <c r="D39" s="502"/>
      <c r="E39" s="502"/>
      <c r="F39" s="503"/>
      <c r="G39" s="502"/>
      <c r="H39" s="502"/>
      <c r="I39" s="503"/>
      <c r="J39" s="502"/>
      <c r="K39" s="502"/>
      <c r="L39" s="504"/>
    </row>
    <row r="40" spans="2:12" ht="15.75">
      <c r="B40" s="505" t="s">
        <v>85</v>
      </c>
      <c r="C40" s="515"/>
      <c r="D40" s="502"/>
      <c r="E40" s="502"/>
      <c r="F40" s="503"/>
      <c r="G40" s="502"/>
      <c r="H40" s="502"/>
      <c r="I40" s="503"/>
      <c r="J40" s="502"/>
      <c r="K40" s="502"/>
      <c r="L40" s="504"/>
    </row>
    <row r="41" spans="2:12" ht="15.75">
      <c r="B41" s="505"/>
      <c r="C41" s="506" t="s">
        <v>328</v>
      </c>
      <c r="D41" s="507">
        <v>133</v>
      </c>
      <c r="E41" s="507">
        <v>2493</v>
      </c>
      <c r="F41" s="508">
        <v>2124844</v>
      </c>
      <c r="G41" s="507">
        <v>118</v>
      </c>
      <c r="H41" s="507">
        <v>7265</v>
      </c>
      <c r="I41" s="508">
        <v>6732032</v>
      </c>
      <c r="J41" s="507">
        <v>26</v>
      </c>
      <c r="K41" s="507">
        <v>1625</v>
      </c>
      <c r="L41" s="509">
        <v>1046340</v>
      </c>
    </row>
    <row r="42" spans="2:12" ht="15.75">
      <c r="B42" s="505"/>
      <c r="C42" s="506" t="s">
        <v>329</v>
      </c>
      <c r="D42" s="507">
        <v>16</v>
      </c>
      <c r="E42" s="507">
        <v>232</v>
      </c>
      <c r="F42" s="508">
        <v>335105</v>
      </c>
      <c r="G42" s="507">
        <v>2</v>
      </c>
      <c r="H42" s="507">
        <v>152</v>
      </c>
      <c r="I42" s="508">
        <v>227849</v>
      </c>
      <c r="J42" s="507">
        <v>0</v>
      </c>
      <c r="K42" s="507">
        <v>0</v>
      </c>
      <c r="L42" s="509">
        <v>0</v>
      </c>
    </row>
    <row r="43" spans="2:12" ht="15.75">
      <c r="B43" s="505"/>
      <c r="C43" s="506" t="s">
        <v>330</v>
      </c>
      <c r="D43" s="507">
        <v>14</v>
      </c>
      <c r="E43" s="507">
        <v>270</v>
      </c>
      <c r="F43" s="508">
        <v>412025</v>
      </c>
      <c r="G43" s="507"/>
      <c r="H43" s="507"/>
      <c r="I43" s="508"/>
      <c r="J43" s="507">
        <v>0</v>
      </c>
      <c r="K43" s="507">
        <v>0</v>
      </c>
      <c r="L43" s="509">
        <v>0</v>
      </c>
    </row>
    <row r="44" spans="2:12" ht="16.5" thickBot="1">
      <c r="B44" s="505"/>
      <c r="C44" s="506" t="s">
        <v>331</v>
      </c>
      <c r="D44" s="507">
        <v>78</v>
      </c>
      <c r="E44" s="507">
        <v>866</v>
      </c>
      <c r="F44" s="508">
        <v>1355663</v>
      </c>
      <c r="G44" s="507">
        <v>0</v>
      </c>
      <c r="H44" s="507">
        <v>0</v>
      </c>
      <c r="I44" s="508">
        <v>0</v>
      </c>
      <c r="J44" s="507">
        <v>0</v>
      </c>
      <c r="K44" s="507">
        <v>0</v>
      </c>
      <c r="L44" s="504">
        <v>0</v>
      </c>
    </row>
    <row r="45" spans="2:12" ht="16.5" thickTop="1">
      <c r="B45" s="510"/>
      <c r="C45" s="511" t="s">
        <v>120</v>
      </c>
      <c r="D45" s="512">
        <v>241</v>
      </c>
      <c r="E45" s="512">
        <v>3861</v>
      </c>
      <c r="F45" s="513">
        <v>4227637</v>
      </c>
      <c r="G45" s="512">
        <v>120</v>
      </c>
      <c r="H45" s="512">
        <v>7417</v>
      </c>
      <c r="I45" s="513">
        <v>6959881</v>
      </c>
      <c r="J45" s="512">
        <v>26</v>
      </c>
      <c r="K45" s="512">
        <v>1625</v>
      </c>
      <c r="L45" s="514">
        <v>1046340</v>
      </c>
    </row>
    <row r="46" spans="2:12" ht="15.75">
      <c r="B46" s="510"/>
      <c r="C46" s="516"/>
      <c r="D46" s="502"/>
      <c r="E46" s="502"/>
      <c r="F46" s="503"/>
      <c r="G46" s="502"/>
      <c r="H46" s="502"/>
      <c r="I46" s="503"/>
      <c r="J46" s="502"/>
      <c r="K46" s="502"/>
      <c r="L46" s="504"/>
    </row>
    <row r="47" spans="2:12" ht="15.75">
      <c r="B47" s="505" t="s">
        <v>332</v>
      </c>
      <c r="C47" s="516"/>
      <c r="D47" s="502"/>
      <c r="E47" s="502"/>
      <c r="F47" s="503"/>
      <c r="G47" s="502"/>
      <c r="H47" s="502"/>
      <c r="I47" s="503"/>
      <c r="J47" s="502"/>
      <c r="K47" s="502"/>
      <c r="L47" s="504"/>
    </row>
    <row r="48" spans="2:12" ht="15.75">
      <c r="B48" s="510"/>
      <c r="C48" s="506" t="s">
        <v>328</v>
      </c>
      <c r="D48" s="507">
        <v>1149</v>
      </c>
      <c r="E48" s="507">
        <v>35139</v>
      </c>
      <c r="F48" s="508">
        <v>28367259</v>
      </c>
      <c r="G48" s="507">
        <v>863</v>
      </c>
      <c r="H48" s="507">
        <v>74509</v>
      </c>
      <c r="I48" s="508">
        <v>60159429</v>
      </c>
      <c r="J48" s="507">
        <v>44</v>
      </c>
      <c r="K48" s="507">
        <v>2926</v>
      </c>
      <c r="L48" s="509">
        <v>1693561</v>
      </c>
    </row>
    <row r="49" spans="2:12" ht="15.75">
      <c r="B49" s="510"/>
      <c r="C49" s="506" t="s">
        <v>329</v>
      </c>
      <c r="D49" s="507">
        <v>78</v>
      </c>
      <c r="E49" s="507">
        <v>1576</v>
      </c>
      <c r="F49" s="508">
        <v>2127575</v>
      </c>
      <c r="G49" s="507">
        <v>8</v>
      </c>
      <c r="H49" s="507">
        <v>747</v>
      </c>
      <c r="I49" s="508">
        <v>1009516</v>
      </c>
      <c r="J49" s="507">
        <v>0</v>
      </c>
      <c r="K49" s="507">
        <v>0</v>
      </c>
      <c r="L49" s="504">
        <v>0</v>
      </c>
    </row>
    <row r="50" spans="2:12" ht="15.75">
      <c r="B50" s="510"/>
      <c r="C50" s="506" t="s">
        <v>330</v>
      </c>
      <c r="D50" s="507">
        <v>61</v>
      </c>
      <c r="E50" s="507">
        <v>1003</v>
      </c>
      <c r="F50" s="508">
        <v>1414188</v>
      </c>
      <c r="G50" s="507">
        <v>1</v>
      </c>
      <c r="H50" s="507">
        <v>33</v>
      </c>
      <c r="I50" s="508">
        <v>40269</v>
      </c>
      <c r="J50" s="507">
        <v>0</v>
      </c>
      <c r="K50" s="507">
        <v>0</v>
      </c>
      <c r="L50" s="504">
        <v>0</v>
      </c>
    </row>
    <row r="51" spans="2:12" ht="16.5" thickBot="1">
      <c r="B51" s="510"/>
      <c r="C51" s="506" t="s">
        <v>331</v>
      </c>
      <c r="D51" s="507">
        <v>253</v>
      </c>
      <c r="E51" s="507">
        <v>4370</v>
      </c>
      <c r="F51" s="508">
        <v>6265377</v>
      </c>
      <c r="G51" s="507">
        <v>7</v>
      </c>
      <c r="H51" s="507">
        <v>2048</v>
      </c>
      <c r="I51" s="508">
        <v>2960213</v>
      </c>
      <c r="J51" s="507">
        <v>0</v>
      </c>
      <c r="K51" s="507">
        <v>0</v>
      </c>
      <c r="L51" s="504">
        <v>0</v>
      </c>
    </row>
    <row r="52" spans="2:12" ht="16.5" thickTop="1">
      <c r="B52" s="517"/>
      <c r="C52" s="518" t="s">
        <v>333</v>
      </c>
      <c r="D52" s="519">
        <v>1541</v>
      </c>
      <c r="E52" s="519">
        <v>42088</v>
      </c>
      <c r="F52" s="513">
        <v>38174399</v>
      </c>
      <c r="G52" s="519">
        <v>879</v>
      </c>
      <c r="H52" s="519">
        <v>77337</v>
      </c>
      <c r="I52" s="513">
        <v>64169427</v>
      </c>
      <c r="J52" s="519">
        <v>44</v>
      </c>
      <c r="K52" s="519">
        <v>2926</v>
      </c>
      <c r="L52" s="514">
        <v>1693561</v>
      </c>
    </row>
    <row r="53" spans="2:12" ht="16.5" thickBot="1">
      <c r="B53" s="520"/>
      <c r="C53" s="521"/>
      <c r="D53" s="522"/>
      <c r="E53" s="522"/>
      <c r="F53" s="523"/>
      <c r="G53" s="522"/>
      <c r="H53" s="524"/>
      <c r="I53" s="525"/>
      <c r="J53" s="522"/>
      <c r="K53" s="524"/>
      <c r="L53" s="526"/>
    </row>
    <row r="56" spans="2:12">
      <c r="B56" s="481"/>
      <c r="C56" s="481"/>
      <c r="D56" s="481"/>
      <c r="E56" s="483"/>
      <c r="F56" s="483"/>
    </row>
    <row r="57" spans="2:12">
      <c r="B57" s="481"/>
      <c r="C57" s="481"/>
      <c r="D57" s="481"/>
      <c r="E57" s="483"/>
      <c r="F57" s="483"/>
    </row>
    <row r="58" spans="2:12">
      <c r="B58" s="481"/>
      <c r="C58" s="481"/>
      <c r="D58" s="481"/>
      <c r="E58" s="483"/>
      <c r="F58" s="483"/>
    </row>
    <row r="59" spans="2:12">
      <c r="B59" s="481"/>
      <c r="C59" s="481"/>
      <c r="D59" s="481"/>
      <c r="E59" s="483"/>
      <c r="F59" s="483"/>
    </row>
    <row r="60" spans="2:12">
      <c r="B60" s="481"/>
      <c r="C60" s="481"/>
      <c r="D60" s="483"/>
      <c r="E60" s="483"/>
      <c r="F60" s="483"/>
    </row>
    <row r="61" spans="2:12">
      <c r="B61" s="481"/>
      <c r="C61" s="481"/>
      <c r="D61" s="483"/>
      <c r="E61" s="483"/>
      <c r="F61" s="483"/>
    </row>
    <row r="62" spans="2:12">
      <c r="B62" s="481"/>
      <c r="C62" s="481"/>
      <c r="D62" s="481"/>
      <c r="E62" s="483"/>
      <c r="F62" s="483"/>
    </row>
    <row r="63" spans="2:12">
      <c r="B63" s="481"/>
      <c r="C63" s="481"/>
      <c r="D63" s="481"/>
      <c r="E63" s="483"/>
      <c r="F63" s="483"/>
    </row>
    <row r="64" spans="2:12">
      <c r="B64" s="481"/>
      <c r="C64" s="481"/>
      <c r="D64" s="481"/>
      <c r="E64" s="483"/>
      <c r="F64" s="483"/>
    </row>
    <row r="65" spans="2:6">
      <c r="B65" s="481"/>
      <c r="C65" s="481"/>
      <c r="D65" s="483"/>
      <c r="E65" s="483"/>
      <c r="F65" s="483"/>
    </row>
    <row r="66" spans="2:6">
      <c r="B66" s="481"/>
      <c r="C66" s="481"/>
      <c r="D66" s="483"/>
      <c r="E66" s="483"/>
      <c r="F66" s="483"/>
    </row>
  </sheetData>
  <mergeCells count="12">
    <mergeCell ref="B31:C31"/>
    <mergeCell ref="B1:L1"/>
    <mergeCell ref="B2:L2"/>
    <mergeCell ref="B4:C4"/>
    <mergeCell ref="E4:F4"/>
    <mergeCell ref="H4:I4"/>
    <mergeCell ref="K4:L4"/>
    <mergeCell ref="B5:C5"/>
    <mergeCell ref="B30:C30"/>
    <mergeCell ref="E30:F30"/>
    <mergeCell ref="H30:I30"/>
    <mergeCell ref="K30:L30"/>
  </mergeCell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1:Q55"/>
  <sheetViews>
    <sheetView showGridLines="0" workbookViewId="0"/>
  </sheetViews>
  <sheetFormatPr defaultRowHeight="15"/>
  <cols>
    <col min="3" max="3" width="8.140625" customWidth="1"/>
    <col min="4" max="4" width="8.85546875" bestFit="1" customWidth="1"/>
    <col min="5" max="5" width="9.42578125" bestFit="1" customWidth="1"/>
    <col min="6" max="6" width="8.85546875" bestFit="1" customWidth="1"/>
    <col min="7" max="7" width="2.140625" customWidth="1"/>
    <col min="8" max="8" width="8.85546875" bestFit="1" customWidth="1"/>
    <col min="9" max="9" width="9.42578125" bestFit="1" customWidth="1"/>
    <col min="10" max="10" width="8.85546875" bestFit="1" customWidth="1"/>
    <col min="11" max="11" width="2.140625" customWidth="1"/>
    <col min="12" max="12" width="8.85546875" customWidth="1"/>
    <col min="13" max="13" width="9.42578125" customWidth="1"/>
    <col min="14" max="15" width="8.85546875" bestFit="1" customWidth="1"/>
    <col min="16" max="16" width="9.42578125" bestFit="1" customWidth="1"/>
    <col min="17" max="17" width="10.140625" customWidth="1"/>
  </cols>
  <sheetData>
    <row r="1" spans="2:17" ht="18">
      <c r="B1" s="1048" t="s">
        <v>334</v>
      </c>
      <c r="C1" s="1048"/>
      <c r="D1" s="1048"/>
      <c r="E1" s="1048"/>
      <c r="F1" s="1048"/>
      <c r="G1" s="1048"/>
      <c r="H1" s="1048"/>
      <c r="I1" s="1048"/>
      <c r="J1" s="1048"/>
      <c r="K1" s="1049"/>
      <c r="L1" s="1049"/>
      <c r="M1" s="1049"/>
      <c r="N1" s="1049"/>
      <c r="O1" s="1049"/>
      <c r="P1" s="1049"/>
      <c r="Q1" s="1049"/>
    </row>
    <row r="2" spans="2:17" ht="18">
      <c r="B2" s="1048" t="s">
        <v>335</v>
      </c>
      <c r="C2" s="1048"/>
      <c r="D2" s="1048"/>
      <c r="E2" s="1048"/>
      <c r="F2" s="1048"/>
      <c r="G2" s="1048"/>
      <c r="H2" s="1048"/>
      <c r="I2" s="1048"/>
      <c r="J2" s="1048"/>
      <c r="K2" s="1049"/>
      <c r="L2" s="1049"/>
      <c r="M2" s="1049"/>
      <c r="N2" s="1049"/>
      <c r="O2" s="1049"/>
      <c r="P2" s="1049"/>
      <c r="Q2" s="1049"/>
    </row>
    <row r="3" spans="2:17" ht="18">
      <c r="B3" s="1048" t="s">
        <v>510</v>
      </c>
      <c r="C3" s="1048"/>
      <c r="D3" s="1048"/>
      <c r="E3" s="1048"/>
      <c r="F3" s="1048"/>
      <c r="G3" s="1048"/>
      <c r="H3" s="1048"/>
      <c r="I3" s="1048"/>
      <c r="J3" s="1048"/>
      <c r="K3" s="1049"/>
      <c r="L3" s="1049"/>
      <c r="M3" s="1049"/>
      <c r="N3" s="1049"/>
      <c r="O3" s="1049"/>
      <c r="P3" s="1049"/>
      <c r="Q3" s="1049"/>
    </row>
    <row r="4" spans="2:17" ht="18">
      <c r="B4" s="534"/>
      <c r="G4" s="413"/>
      <c r="K4" s="413"/>
      <c r="O4" s="1050"/>
      <c r="P4" s="1050"/>
      <c r="Q4" s="1050"/>
    </row>
    <row r="5" spans="2:17">
      <c r="B5" s="1051"/>
      <c r="C5" s="1052"/>
      <c r="D5" s="535"/>
      <c r="E5" s="536"/>
      <c r="F5" s="537"/>
      <c r="G5" s="538"/>
      <c r="H5" s="1053" t="s">
        <v>336</v>
      </c>
      <c r="I5" s="1054"/>
      <c r="J5" s="1055"/>
      <c r="K5" s="538"/>
      <c r="L5" s="1053" t="s">
        <v>337</v>
      </c>
      <c r="M5" s="1054"/>
      <c r="N5" s="1055"/>
      <c r="O5" s="1053" t="s">
        <v>337</v>
      </c>
      <c r="P5" s="1054"/>
      <c r="Q5" s="1055"/>
    </row>
    <row r="6" spans="2:17">
      <c r="B6" s="414"/>
      <c r="C6" s="415"/>
      <c r="D6" s="1012" t="s">
        <v>338</v>
      </c>
      <c r="E6" s="1038"/>
      <c r="F6" s="1013"/>
      <c r="G6" s="539"/>
      <c r="H6" s="1056" t="s">
        <v>145</v>
      </c>
      <c r="I6" s="1014"/>
      <c r="J6" s="1017"/>
      <c r="K6" s="539"/>
      <c r="L6" s="1057" t="s">
        <v>339</v>
      </c>
      <c r="M6" s="1058"/>
      <c r="N6" s="1059"/>
      <c r="O6" s="1060" t="s">
        <v>340</v>
      </c>
      <c r="P6" s="1061"/>
      <c r="Q6" s="1062"/>
    </row>
    <row r="7" spans="2:17">
      <c r="B7" s="1012" t="s">
        <v>341</v>
      </c>
      <c r="C7" s="1013"/>
      <c r="D7" s="540" t="s">
        <v>342</v>
      </c>
      <c r="E7" s="540" t="s">
        <v>343</v>
      </c>
      <c r="F7" s="540" t="s">
        <v>344</v>
      </c>
      <c r="G7" s="539"/>
      <c r="H7" s="540" t="s">
        <v>342</v>
      </c>
      <c r="I7" s="540" t="s">
        <v>345</v>
      </c>
      <c r="J7" s="540" t="s">
        <v>344</v>
      </c>
      <c r="K7" s="539"/>
      <c r="L7" s="541" t="s">
        <v>342</v>
      </c>
      <c r="M7" s="541" t="s">
        <v>345</v>
      </c>
      <c r="N7" s="541" t="s">
        <v>344</v>
      </c>
      <c r="O7" s="541" t="s">
        <v>342</v>
      </c>
      <c r="P7" s="541" t="s">
        <v>345</v>
      </c>
      <c r="Q7" s="541" t="s">
        <v>344</v>
      </c>
    </row>
    <row r="8" spans="2:17">
      <c r="B8" s="275" t="s">
        <v>346</v>
      </c>
      <c r="C8" s="226"/>
      <c r="D8" s="542">
        <v>27572</v>
      </c>
      <c r="E8" s="542">
        <v>29539</v>
      </c>
      <c r="F8" s="543">
        <v>29419</v>
      </c>
      <c r="G8" s="544"/>
      <c r="H8" s="545">
        <v>74475842</v>
      </c>
      <c r="I8" s="545">
        <v>91651399</v>
      </c>
      <c r="J8" s="545">
        <v>65637656</v>
      </c>
      <c r="K8" s="544"/>
      <c r="L8" s="546">
        <v>7.3000000000000001E-3</v>
      </c>
      <c r="M8" s="546">
        <v>9.7000000000000003E-3</v>
      </c>
      <c r="N8" s="546">
        <v>7.4000000000000003E-3</v>
      </c>
      <c r="O8" s="546">
        <v>7.6181872475126608E-3</v>
      </c>
      <c r="P8" s="546">
        <v>1.020958087480861E-2</v>
      </c>
      <c r="Q8" s="546">
        <v>7.8757674341187571E-3</v>
      </c>
    </row>
    <row r="9" spans="2:17">
      <c r="B9" s="282" t="s">
        <v>347</v>
      </c>
      <c r="C9" s="228"/>
      <c r="D9" s="543">
        <v>32595</v>
      </c>
      <c r="E9" s="543">
        <v>34634</v>
      </c>
      <c r="F9" s="543">
        <v>34879</v>
      </c>
      <c r="G9" s="544"/>
      <c r="H9" s="547">
        <v>38354417</v>
      </c>
      <c r="I9" s="547">
        <v>37827117</v>
      </c>
      <c r="J9" s="547">
        <v>37034660</v>
      </c>
      <c r="K9" s="544"/>
      <c r="L9" s="548">
        <v>0.02</v>
      </c>
      <c r="M9" s="548">
        <v>2.0299999999999999E-2</v>
      </c>
      <c r="N9" s="548">
        <v>2.1099999999999997E-2</v>
      </c>
      <c r="O9" s="548">
        <v>2.1395961973674965E-2</v>
      </c>
      <c r="P9" s="548">
        <v>2.1660680484391112E-2</v>
      </c>
      <c r="Q9" s="548">
        <v>2.2218445690777536E-2</v>
      </c>
    </row>
    <row r="10" spans="2:17">
      <c r="B10" s="282" t="s">
        <v>348</v>
      </c>
      <c r="C10" s="228"/>
      <c r="D10" s="543">
        <v>49056</v>
      </c>
      <c r="E10" s="543">
        <v>48173</v>
      </c>
      <c r="F10" s="543">
        <v>51391</v>
      </c>
      <c r="G10" s="544"/>
      <c r="H10" s="547">
        <v>142411967</v>
      </c>
      <c r="I10" s="547">
        <v>147748480</v>
      </c>
      <c r="J10" s="547">
        <v>125362127</v>
      </c>
      <c r="K10" s="544"/>
      <c r="L10" s="548">
        <v>1.3899999999999999E-2</v>
      </c>
      <c r="M10" s="548">
        <v>1.5300000000000001E-2</v>
      </c>
      <c r="N10" s="548">
        <v>1.41E-2</v>
      </c>
      <c r="O10" s="548">
        <v>1.4688763733172173E-2</v>
      </c>
      <c r="P10" s="548">
        <v>1.6436144066219047E-2</v>
      </c>
      <c r="Q10" s="548">
        <v>1.4966243911321866E-2</v>
      </c>
    </row>
    <row r="11" spans="2:17" ht="15.75" thickBot="1">
      <c r="B11" s="549" t="s">
        <v>349</v>
      </c>
      <c r="C11" s="550"/>
      <c r="D11" s="551">
        <v>63446</v>
      </c>
      <c r="E11" s="551">
        <v>65687</v>
      </c>
      <c r="F11" s="551">
        <v>66332</v>
      </c>
      <c r="G11" s="552"/>
      <c r="H11" s="553">
        <v>78536369</v>
      </c>
      <c r="I11" s="553">
        <v>77357618</v>
      </c>
      <c r="J11" s="553">
        <v>77463728</v>
      </c>
      <c r="K11" s="552"/>
      <c r="L11" s="554">
        <v>0.04</v>
      </c>
      <c r="M11" s="554">
        <v>4.2300000000000004E-2</v>
      </c>
      <c r="N11" s="554">
        <v>4.2800000000000005E-2</v>
      </c>
      <c r="O11" s="554">
        <v>4.2874175932628544E-2</v>
      </c>
      <c r="P11" s="554">
        <v>4.5207911671982834E-2</v>
      </c>
      <c r="Q11" s="554">
        <v>4.5379584086972222E-2</v>
      </c>
    </row>
    <row r="12" spans="2:17" ht="31.15" customHeight="1" thickBot="1">
      <c r="B12" s="549" t="s">
        <v>265</v>
      </c>
      <c r="C12" s="555"/>
      <c r="D12" s="556"/>
      <c r="E12" s="557"/>
      <c r="F12" s="557"/>
      <c r="G12" s="558"/>
      <c r="H12" s="559">
        <v>333778595</v>
      </c>
      <c r="I12" s="559">
        <v>354584614</v>
      </c>
      <c r="J12" s="559">
        <v>305498171</v>
      </c>
      <c r="K12" s="558"/>
      <c r="L12" s="560">
        <v>1.37E-2</v>
      </c>
      <c r="M12" s="560">
        <v>1.5600000000000001E-2</v>
      </c>
      <c r="N12" s="561">
        <v>1.44E-2</v>
      </c>
      <c r="O12" s="560">
        <v>1.4451951288491919E-2</v>
      </c>
      <c r="P12" s="560">
        <v>1.6551011358914233E-2</v>
      </c>
      <c r="Q12" s="561">
        <v>1.5210784714187343E-2</v>
      </c>
    </row>
    <row r="13" spans="2:17" ht="17.25" hidden="1">
      <c r="B13" s="282" t="s">
        <v>350</v>
      </c>
      <c r="C13" s="256"/>
      <c r="D13" s="282"/>
      <c r="E13" s="256"/>
      <c r="F13" s="256"/>
      <c r="G13" s="562"/>
      <c r="H13" s="563"/>
      <c r="I13" s="564"/>
      <c r="J13" s="564"/>
      <c r="K13" s="562"/>
      <c r="L13" s="565"/>
      <c r="M13" s="566"/>
      <c r="N13" s="566"/>
      <c r="O13" s="563"/>
      <c r="P13" s="564"/>
      <c r="Q13" s="564"/>
    </row>
    <row r="14" spans="2:17" ht="15.75" hidden="1" customHeight="1">
      <c r="B14" s="567" t="s">
        <v>351</v>
      </c>
      <c r="C14" s="568"/>
      <c r="D14" s="569"/>
      <c r="E14" s="569"/>
      <c r="F14" s="569"/>
      <c r="G14" s="570"/>
      <c r="H14" s="571"/>
      <c r="I14" s="572"/>
      <c r="J14" s="572"/>
      <c r="K14" s="552"/>
      <c r="L14" s="571"/>
      <c r="M14" s="572"/>
      <c r="N14" s="572"/>
      <c r="O14" s="573"/>
      <c r="P14" s="574"/>
      <c r="Q14" s="574"/>
    </row>
    <row r="15" spans="2:17" ht="13.9" customHeight="1">
      <c r="B15" s="413"/>
      <c r="C15" s="225"/>
      <c r="D15" s="225"/>
      <c r="E15" s="225"/>
      <c r="F15" s="225"/>
      <c r="G15" s="225"/>
      <c r="H15" s="575"/>
      <c r="I15" s="225"/>
      <c r="J15" s="225"/>
      <c r="K15" s="225"/>
      <c r="L15" s="575"/>
      <c r="M15" s="575"/>
      <c r="N15" s="575"/>
      <c r="O15" s="575"/>
      <c r="P15" s="575"/>
      <c r="Q15" s="575"/>
    </row>
    <row r="16" spans="2:17" ht="13.9" customHeight="1">
      <c r="B16" s="413"/>
      <c r="C16" s="225"/>
      <c r="D16" s="225"/>
      <c r="E16" s="225"/>
      <c r="F16" s="225"/>
      <c r="G16" s="225"/>
      <c r="H16" s="575"/>
      <c r="I16" s="225"/>
      <c r="J16" s="225"/>
      <c r="K16" s="225"/>
      <c r="L16" s="575"/>
      <c r="M16" s="575"/>
      <c r="N16" s="575"/>
      <c r="O16" s="575"/>
      <c r="P16" s="575"/>
      <c r="Q16" s="575"/>
    </row>
    <row r="17" spans="2:17">
      <c r="B17" s="1051"/>
      <c r="C17" s="1052"/>
      <c r="D17" s="535"/>
      <c r="E17" s="536"/>
      <c r="F17" s="537"/>
      <c r="G17" s="538"/>
      <c r="H17" s="1053" t="s">
        <v>336</v>
      </c>
      <c r="I17" s="1054"/>
      <c r="J17" s="1055"/>
      <c r="K17" s="538"/>
      <c r="L17" s="1053" t="s">
        <v>337</v>
      </c>
      <c r="M17" s="1054"/>
      <c r="N17" s="1055"/>
      <c r="O17" s="1053" t="s">
        <v>337</v>
      </c>
      <c r="P17" s="1054"/>
      <c r="Q17" s="1055"/>
    </row>
    <row r="18" spans="2:17">
      <c r="B18" s="414"/>
      <c r="C18" s="415"/>
      <c r="D18" s="1012" t="s">
        <v>275</v>
      </c>
      <c r="E18" s="1038"/>
      <c r="F18" s="1013"/>
      <c r="G18" s="539"/>
      <c r="H18" s="1056" t="s">
        <v>145</v>
      </c>
      <c r="I18" s="1014"/>
      <c r="J18" s="1017"/>
      <c r="K18" s="539"/>
      <c r="L18" s="1057" t="s">
        <v>339</v>
      </c>
      <c r="M18" s="1058"/>
      <c r="N18" s="1059"/>
      <c r="O18" s="1060" t="s">
        <v>340</v>
      </c>
      <c r="P18" s="1061"/>
      <c r="Q18" s="1062"/>
    </row>
    <row r="19" spans="2:17">
      <c r="B19" s="1012" t="s">
        <v>352</v>
      </c>
      <c r="C19" s="1013"/>
      <c r="D19" s="540" t="s">
        <v>342</v>
      </c>
      <c r="E19" s="576" t="s">
        <v>345</v>
      </c>
      <c r="F19" s="576" t="s">
        <v>344</v>
      </c>
      <c r="G19" s="539"/>
      <c r="H19" s="540" t="s">
        <v>342</v>
      </c>
      <c r="I19" s="576" t="s">
        <v>345</v>
      </c>
      <c r="J19" s="576" t="s">
        <v>344</v>
      </c>
      <c r="K19" s="539"/>
      <c r="L19" s="541" t="s">
        <v>342</v>
      </c>
      <c r="M19" s="541" t="s">
        <v>345</v>
      </c>
      <c r="N19" s="541" t="s">
        <v>344</v>
      </c>
      <c r="O19" s="541" t="s">
        <v>342</v>
      </c>
      <c r="P19" s="541" t="s">
        <v>345</v>
      </c>
      <c r="Q19" s="541" t="s">
        <v>344</v>
      </c>
    </row>
    <row r="20" spans="2:17">
      <c r="B20" s="275" t="s">
        <v>353</v>
      </c>
      <c r="C20" s="226"/>
      <c r="D20" s="577">
        <v>44342</v>
      </c>
      <c r="E20" s="577">
        <v>42465</v>
      </c>
      <c r="F20" s="577">
        <v>45808</v>
      </c>
      <c r="G20" s="578"/>
      <c r="H20" s="547">
        <v>100101666</v>
      </c>
      <c r="I20" s="547">
        <v>96202617</v>
      </c>
      <c r="J20" s="547">
        <v>93387308</v>
      </c>
      <c r="K20" s="578"/>
      <c r="L20" s="546">
        <v>2.86E-2</v>
      </c>
      <c r="M20" s="546">
        <v>2.9300000000000003E-2</v>
      </c>
      <c r="N20" s="546">
        <v>2.9600000000000001E-2</v>
      </c>
      <c r="O20" s="546">
        <v>2.8713027855137841E-2</v>
      </c>
      <c r="P20" s="546">
        <v>2.9517753411035887E-2</v>
      </c>
      <c r="Q20" s="546">
        <v>2.9767796400491472E-2</v>
      </c>
    </row>
    <row r="21" spans="2:17">
      <c r="B21" s="282" t="s">
        <v>354</v>
      </c>
      <c r="C21" s="228"/>
      <c r="D21" s="577">
        <v>15588</v>
      </c>
      <c r="E21" s="577">
        <v>17723</v>
      </c>
      <c r="F21" s="577">
        <v>15570</v>
      </c>
      <c r="G21" s="544"/>
      <c r="H21" s="547">
        <v>96467532</v>
      </c>
      <c r="I21" s="547">
        <v>96304976</v>
      </c>
      <c r="J21" s="547">
        <v>95157644</v>
      </c>
      <c r="K21" s="544"/>
      <c r="L21" s="548">
        <v>1.0800000000000001E-2</v>
      </c>
      <c r="M21" s="548">
        <v>1.1599999999999999E-2</v>
      </c>
      <c r="N21" s="548">
        <v>1.2199999999999999E-2</v>
      </c>
      <c r="O21" s="548">
        <v>1.1828600805779644E-2</v>
      </c>
      <c r="P21" s="548">
        <v>1.2879387070935375E-2</v>
      </c>
      <c r="Q21" s="548">
        <v>1.3479125163417902E-2</v>
      </c>
    </row>
    <row r="22" spans="2:17">
      <c r="B22" s="282" t="s">
        <v>355</v>
      </c>
      <c r="C22" s="228"/>
      <c r="D22" s="577">
        <v>8</v>
      </c>
      <c r="E22" s="577">
        <v>14</v>
      </c>
      <c r="F22" s="577">
        <v>8</v>
      </c>
      <c r="G22" s="544"/>
      <c r="H22" s="547">
        <v>6797</v>
      </c>
      <c r="I22" s="547">
        <v>51854</v>
      </c>
      <c r="J22" s="547">
        <v>15210</v>
      </c>
      <c r="K22" s="544"/>
      <c r="L22" s="548">
        <v>0</v>
      </c>
      <c r="M22" s="548">
        <v>0</v>
      </c>
      <c r="N22" s="548">
        <v>0</v>
      </c>
      <c r="O22" s="548">
        <v>4.5942335625952401E-6</v>
      </c>
      <c r="P22" s="548">
        <v>3.8302623142576094E-5</v>
      </c>
      <c r="Q22" s="548">
        <v>1.0680077171088805E-5</v>
      </c>
    </row>
    <row r="23" spans="2:17">
      <c r="B23" s="282" t="s">
        <v>356</v>
      </c>
      <c r="C23" s="228"/>
      <c r="D23" s="577">
        <v>9768</v>
      </c>
      <c r="E23" s="577">
        <v>11298</v>
      </c>
      <c r="F23" s="577">
        <v>10987</v>
      </c>
      <c r="G23" s="544"/>
      <c r="H23" s="547">
        <v>136516836</v>
      </c>
      <c r="I23" s="547">
        <v>156855713</v>
      </c>
      <c r="J23" s="547">
        <v>116562491</v>
      </c>
      <c r="K23" s="544"/>
      <c r="L23" s="548">
        <v>1.32E-2</v>
      </c>
      <c r="M23" s="548">
        <v>1.61E-2</v>
      </c>
      <c r="N23" s="548">
        <v>1.3300000000000001E-2</v>
      </c>
      <c r="O23" s="548">
        <v>1.3660203458392299E-2</v>
      </c>
      <c r="P23" s="548">
        <v>1.6835410840716557E-2</v>
      </c>
      <c r="Q23" s="548">
        <v>1.3803727099786637E-2</v>
      </c>
    </row>
    <row r="24" spans="2:17" ht="15.75" thickBot="1">
      <c r="B24" s="549" t="s">
        <v>357</v>
      </c>
      <c r="C24" s="550"/>
      <c r="D24" s="551">
        <v>10</v>
      </c>
      <c r="E24" s="579">
        <v>29</v>
      </c>
      <c r="F24" s="579">
        <v>20</v>
      </c>
      <c r="G24" s="552"/>
      <c r="H24" s="553">
        <v>685763</v>
      </c>
      <c r="I24" s="553">
        <v>5169454</v>
      </c>
      <c r="J24" s="553">
        <v>375517</v>
      </c>
      <c r="K24" s="552"/>
      <c r="L24" s="580">
        <v>2.4400000000000002E-2</v>
      </c>
      <c r="M24" s="580">
        <v>0.24929999999999999</v>
      </c>
      <c r="N24" s="554">
        <v>1.89E-2</v>
      </c>
      <c r="O24" s="554">
        <v>3.0060940900335637E-2</v>
      </c>
      <c r="P24" s="554">
        <v>0.31637615804190394</v>
      </c>
      <c r="Q24" s="554">
        <v>1.9694744483104872E-2</v>
      </c>
    </row>
    <row r="25" spans="2:17">
      <c r="B25" s="581"/>
      <c r="C25" s="582"/>
      <c r="D25" s="583"/>
      <c r="E25" s="584"/>
      <c r="F25" s="585"/>
      <c r="G25" s="586"/>
      <c r="H25" s="587"/>
      <c r="I25" s="588"/>
      <c r="J25" s="588"/>
      <c r="K25" s="586"/>
      <c r="L25" s="589"/>
      <c r="M25" s="589"/>
      <c r="N25" s="590"/>
      <c r="O25" s="591"/>
      <c r="P25" s="591"/>
      <c r="Q25" s="592"/>
    </row>
    <row r="26" spans="2:17" ht="15.75" thickBot="1">
      <c r="B26" s="549" t="s">
        <v>265</v>
      </c>
      <c r="C26" s="555"/>
      <c r="D26" s="593">
        <v>69716</v>
      </c>
      <c r="E26" s="594">
        <v>71529</v>
      </c>
      <c r="F26" s="557">
        <v>72393</v>
      </c>
      <c r="G26" s="558"/>
      <c r="H26" s="559">
        <v>333778594</v>
      </c>
      <c r="I26" s="559">
        <v>354584614</v>
      </c>
      <c r="J26" s="559">
        <v>305498170</v>
      </c>
      <c r="K26" s="558"/>
      <c r="L26" s="595">
        <v>1.37E-2</v>
      </c>
      <c r="M26" s="595">
        <v>1.5600000000000001E-2</v>
      </c>
      <c r="N26" s="596">
        <v>1.44E-2</v>
      </c>
      <c r="O26" s="560">
        <v>1.4525704965136839E-2</v>
      </c>
      <c r="P26" s="560">
        <v>1.6551011358914236E-2</v>
      </c>
      <c r="Q26" s="561">
        <v>1.5210784664397245E-2</v>
      </c>
    </row>
    <row r="27" spans="2:17" ht="17.25" hidden="1">
      <c r="B27" s="282" t="s">
        <v>350</v>
      </c>
      <c r="C27" s="256"/>
      <c r="D27" s="282"/>
      <c r="E27" s="256"/>
      <c r="F27" s="256"/>
      <c r="G27" s="562"/>
      <c r="H27" s="563"/>
      <c r="I27" s="564"/>
      <c r="J27" s="564"/>
      <c r="K27" s="562"/>
      <c r="L27" s="565"/>
      <c r="M27" s="566"/>
      <c r="N27" s="566"/>
      <c r="O27" s="563"/>
      <c r="P27" s="564"/>
      <c r="Q27" s="564"/>
    </row>
    <row r="28" spans="2:17" ht="18" hidden="1" thickBot="1">
      <c r="B28" s="567" t="s">
        <v>351</v>
      </c>
      <c r="C28" s="568"/>
      <c r="D28" s="569"/>
      <c r="E28" s="569"/>
      <c r="F28" s="569"/>
      <c r="G28" s="570"/>
      <c r="H28" s="571"/>
      <c r="I28" s="572"/>
      <c r="J28" s="572"/>
      <c r="K28" s="552"/>
      <c r="L28" s="571"/>
      <c r="M28" s="572"/>
      <c r="N28" s="572"/>
      <c r="O28" s="573"/>
      <c r="P28" s="574"/>
      <c r="Q28" s="574"/>
    </row>
    <row r="29" spans="2:17" ht="13.9" customHeight="1">
      <c r="B29" s="412"/>
      <c r="I29" s="352"/>
      <c r="M29" s="352"/>
      <c r="O29" s="352"/>
      <c r="P29" s="352"/>
      <c r="Q29" s="352"/>
    </row>
    <row r="30" spans="2:17" ht="13.9" customHeight="1">
      <c r="G30" s="73"/>
      <c r="K30" s="73"/>
      <c r="O30" s="352"/>
      <c r="P30" s="352"/>
      <c r="Q30" s="597"/>
    </row>
    <row r="31" spans="2:17">
      <c r="B31" s="1051"/>
      <c r="C31" s="1052"/>
      <c r="D31" s="535"/>
      <c r="E31" s="536"/>
      <c r="F31" s="537"/>
      <c r="G31" s="538"/>
      <c r="H31" s="1053" t="s">
        <v>336</v>
      </c>
      <c r="I31" s="1054"/>
      <c r="J31" s="1055"/>
      <c r="K31" s="538"/>
      <c r="L31" s="1053" t="s">
        <v>337</v>
      </c>
      <c r="M31" s="1054"/>
      <c r="N31" s="1055"/>
      <c r="O31" s="1053" t="s">
        <v>337</v>
      </c>
      <c r="P31" s="1054"/>
      <c r="Q31" s="1055"/>
    </row>
    <row r="32" spans="2:17">
      <c r="B32" s="414"/>
      <c r="C32" s="415"/>
      <c r="D32" s="1012" t="s">
        <v>275</v>
      </c>
      <c r="E32" s="1038"/>
      <c r="F32" s="1013"/>
      <c r="G32" s="539"/>
      <c r="H32" s="1056" t="s">
        <v>145</v>
      </c>
      <c r="I32" s="1014"/>
      <c r="J32" s="1017"/>
      <c r="K32" s="539"/>
      <c r="L32" s="1057" t="s">
        <v>339</v>
      </c>
      <c r="M32" s="1058"/>
      <c r="N32" s="1059"/>
      <c r="O32" s="1060" t="s">
        <v>340</v>
      </c>
      <c r="P32" s="1061"/>
      <c r="Q32" s="1062"/>
    </row>
    <row r="33" spans="2:17">
      <c r="B33" s="1012" t="s">
        <v>358</v>
      </c>
      <c r="C33" s="1013"/>
      <c r="D33" s="540" t="s">
        <v>342</v>
      </c>
      <c r="E33" s="540" t="s">
        <v>345</v>
      </c>
      <c r="F33" s="540" t="s">
        <v>344</v>
      </c>
      <c r="G33" s="539"/>
      <c r="H33" s="540" t="s">
        <v>342</v>
      </c>
      <c r="I33" s="576" t="s">
        <v>345</v>
      </c>
      <c r="J33" s="576" t="s">
        <v>344</v>
      </c>
      <c r="K33" s="539"/>
      <c r="L33" s="541" t="s">
        <v>342</v>
      </c>
      <c r="M33" s="541" t="s">
        <v>345</v>
      </c>
      <c r="N33" s="541" t="s">
        <v>344</v>
      </c>
      <c r="O33" s="541" t="s">
        <v>342</v>
      </c>
      <c r="P33" s="541" t="s">
        <v>345</v>
      </c>
      <c r="Q33" s="541" t="s">
        <v>344</v>
      </c>
    </row>
    <row r="34" spans="2:17">
      <c r="B34" s="275" t="s">
        <v>42</v>
      </c>
      <c r="C34" s="226"/>
      <c r="D34" s="577">
        <v>8543</v>
      </c>
      <c r="E34" s="577">
        <v>8409</v>
      </c>
      <c r="F34" s="577">
        <v>7817</v>
      </c>
      <c r="G34" s="578"/>
      <c r="H34" s="547">
        <v>94861521</v>
      </c>
      <c r="I34" s="547">
        <v>116594344</v>
      </c>
      <c r="J34" s="547">
        <v>80625424</v>
      </c>
      <c r="K34" s="598"/>
      <c r="L34" s="546">
        <v>6.3E-3</v>
      </c>
      <c r="M34" s="546">
        <v>8.3000000000000001E-3</v>
      </c>
      <c r="N34" s="546">
        <v>6.3E-3</v>
      </c>
      <c r="O34" s="599" t="s">
        <v>359</v>
      </c>
      <c r="P34" s="599" t="s">
        <v>359</v>
      </c>
      <c r="Q34" s="599" t="s">
        <v>359</v>
      </c>
    </row>
    <row r="35" spans="2:17">
      <c r="B35" s="282" t="s">
        <v>43</v>
      </c>
      <c r="C35" s="228"/>
      <c r="D35" s="577">
        <v>7585</v>
      </c>
      <c r="E35" s="577">
        <v>10287</v>
      </c>
      <c r="F35" s="577">
        <v>8504</v>
      </c>
      <c r="G35" s="544"/>
      <c r="H35" s="547">
        <v>40178684</v>
      </c>
      <c r="I35" s="547">
        <v>36541309</v>
      </c>
      <c r="J35" s="547">
        <v>34106163</v>
      </c>
      <c r="K35" s="600"/>
      <c r="L35" s="548">
        <v>2.8899999999999999E-2</v>
      </c>
      <c r="M35" s="548">
        <v>2.81E-2</v>
      </c>
      <c r="N35" s="548">
        <v>2.7400000000000001E-2</v>
      </c>
      <c r="O35" s="601" t="s">
        <v>359</v>
      </c>
      <c r="P35" s="601" t="s">
        <v>359</v>
      </c>
      <c r="Q35" s="601" t="s">
        <v>359</v>
      </c>
    </row>
    <row r="36" spans="2:17">
      <c r="B36" s="282" t="s">
        <v>44</v>
      </c>
      <c r="C36" s="228"/>
      <c r="D36" s="577">
        <v>23723</v>
      </c>
      <c r="E36" s="577">
        <v>23706</v>
      </c>
      <c r="F36" s="577">
        <v>25075</v>
      </c>
      <c r="G36" s="544"/>
      <c r="H36" s="547">
        <v>98648873</v>
      </c>
      <c r="I36" s="547">
        <v>101236677</v>
      </c>
      <c r="J36" s="547">
        <v>91514845</v>
      </c>
      <c r="K36" s="600"/>
      <c r="L36" s="548">
        <v>2.9700000000000001E-2</v>
      </c>
      <c r="M36" s="548">
        <v>3.2400000000000005E-2</v>
      </c>
      <c r="N36" s="548">
        <v>3.1200000000000002E-2</v>
      </c>
      <c r="O36" s="601" t="s">
        <v>359</v>
      </c>
      <c r="P36" s="601" t="s">
        <v>359</v>
      </c>
      <c r="Q36" s="601" t="s">
        <v>359</v>
      </c>
    </row>
    <row r="37" spans="2:17">
      <c r="B37" s="282" t="s">
        <v>45</v>
      </c>
      <c r="C37" s="228"/>
      <c r="D37" s="577">
        <v>22037</v>
      </c>
      <c r="E37" s="577">
        <v>21402</v>
      </c>
      <c r="F37" s="577">
        <v>22995</v>
      </c>
      <c r="G37" s="544"/>
      <c r="H37" s="547">
        <v>76649055</v>
      </c>
      <c r="I37" s="547">
        <v>77255413</v>
      </c>
      <c r="J37" s="547">
        <v>79018064</v>
      </c>
      <c r="K37" s="600"/>
      <c r="L37" s="548">
        <v>0.02</v>
      </c>
      <c r="M37" s="548">
        <v>2.1499999999999998E-2</v>
      </c>
      <c r="N37" s="548">
        <v>2.3E-2</v>
      </c>
      <c r="O37" s="601" t="s">
        <v>359</v>
      </c>
      <c r="P37" s="601" t="s">
        <v>359</v>
      </c>
      <c r="Q37" s="601" t="s">
        <v>359</v>
      </c>
    </row>
    <row r="38" spans="2:17" ht="15.75" thickBot="1">
      <c r="B38" s="549" t="s">
        <v>46</v>
      </c>
      <c r="C38" s="550"/>
      <c r="D38" s="577">
        <v>7828</v>
      </c>
      <c r="E38" s="577">
        <v>7725</v>
      </c>
      <c r="F38" s="579">
        <v>8002</v>
      </c>
      <c r="G38" s="552"/>
      <c r="H38" s="553">
        <v>23440461</v>
      </c>
      <c r="I38" s="553">
        <v>22956871</v>
      </c>
      <c r="J38" s="553">
        <v>20233675</v>
      </c>
      <c r="K38" s="602"/>
      <c r="L38" s="580">
        <v>2.8000000000000001E-2</v>
      </c>
      <c r="M38" s="580">
        <v>2.8399999999999998E-2</v>
      </c>
      <c r="N38" s="554">
        <v>2.6000000000000002E-2</v>
      </c>
      <c r="O38" s="603" t="s">
        <v>359</v>
      </c>
      <c r="P38" s="603" t="s">
        <v>359</v>
      </c>
      <c r="Q38" s="603" t="s">
        <v>359</v>
      </c>
    </row>
    <row r="39" spans="2:17">
      <c r="B39" s="581"/>
      <c r="C39" s="582"/>
      <c r="D39" s="583"/>
      <c r="E39" s="584"/>
      <c r="F39" s="585"/>
      <c r="G39" s="586"/>
      <c r="H39" s="587"/>
      <c r="I39" s="588"/>
      <c r="J39" s="588"/>
      <c r="K39" s="586"/>
      <c r="L39" s="589"/>
      <c r="M39" s="589"/>
      <c r="N39" s="590"/>
      <c r="O39" s="604"/>
      <c r="P39" s="604"/>
      <c r="Q39" s="605"/>
    </row>
    <row r="40" spans="2:17" ht="15.75" thickBot="1">
      <c r="B40" s="549" t="s">
        <v>265</v>
      </c>
      <c r="C40" s="555"/>
      <c r="D40" s="593">
        <v>69716</v>
      </c>
      <c r="E40" s="594">
        <v>71529</v>
      </c>
      <c r="F40" s="557">
        <v>72393</v>
      </c>
      <c r="G40" s="558"/>
      <c r="H40" s="559">
        <v>333778594</v>
      </c>
      <c r="I40" s="559">
        <v>354584614</v>
      </c>
      <c r="J40" s="559">
        <v>305498171</v>
      </c>
      <c r="K40" s="558"/>
      <c r="L40" s="595">
        <v>1.37E-2</v>
      </c>
      <c r="M40" s="595">
        <v>1.5600000000000001E-2</v>
      </c>
      <c r="N40" s="596">
        <v>1.44E-2</v>
      </c>
      <c r="O40" s="560">
        <v>1.4525704965136839E-2</v>
      </c>
      <c r="P40" s="560">
        <v>1.6551011358914236E-2</v>
      </c>
      <c r="Q40" s="561">
        <v>1.5210784664397245E-2</v>
      </c>
    </row>
    <row r="41" spans="2:17" ht="17.25" hidden="1">
      <c r="B41" s="606" t="s">
        <v>350</v>
      </c>
      <c r="C41" s="607"/>
      <c r="D41" s="606"/>
      <c r="E41" s="607"/>
      <c r="F41" s="607"/>
      <c r="G41" s="608"/>
      <c r="H41" s="565"/>
      <c r="I41" s="566"/>
      <c r="J41" s="566"/>
      <c r="K41" s="608"/>
      <c r="L41" s="565"/>
      <c r="M41" s="566"/>
      <c r="N41" s="566"/>
      <c r="O41" s="565"/>
      <c r="P41" s="566"/>
      <c r="Q41" s="566"/>
    </row>
    <row r="42" spans="2:17" ht="18" hidden="1" thickBot="1">
      <c r="B42" s="567" t="s">
        <v>351</v>
      </c>
      <c r="C42" s="568"/>
      <c r="D42" s="569"/>
      <c r="E42" s="569"/>
      <c r="F42" s="569"/>
      <c r="G42" s="570"/>
      <c r="H42" s="571"/>
      <c r="I42" s="572"/>
      <c r="J42" s="572"/>
      <c r="K42" s="552"/>
      <c r="L42" s="571"/>
      <c r="M42" s="572"/>
      <c r="N42" s="572"/>
      <c r="O42" s="571"/>
      <c r="P42" s="572"/>
      <c r="Q42" s="572"/>
    </row>
    <row r="44" spans="2:17">
      <c r="B44" s="225" t="s">
        <v>360</v>
      </c>
    </row>
    <row r="45" spans="2:17">
      <c r="B45" s="225" t="s">
        <v>361</v>
      </c>
      <c r="C45" s="12"/>
      <c r="D45" s="12"/>
      <c r="E45" s="12"/>
      <c r="F45" s="12"/>
      <c r="G45" s="12"/>
      <c r="H45" s="12"/>
      <c r="I45" s="12"/>
      <c r="K45" s="12"/>
      <c r="L45" s="12"/>
      <c r="M45" s="12"/>
      <c r="O45" s="12"/>
      <c r="P45" s="12"/>
    </row>
    <row r="46" spans="2:17">
      <c r="B46" s="609" t="s">
        <v>362</v>
      </c>
      <c r="C46" s="12"/>
      <c r="D46" s="12"/>
      <c r="E46" s="12"/>
      <c r="F46" s="12"/>
      <c r="G46" s="12"/>
      <c r="H46" s="12"/>
      <c r="I46" s="12"/>
      <c r="K46" s="12"/>
      <c r="L46" s="12"/>
      <c r="M46" s="12"/>
      <c r="O46" s="12"/>
      <c r="P46" s="12"/>
    </row>
    <row r="47" spans="2:17">
      <c r="B47" s="609" t="s">
        <v>363</v>
      </c>
      <c r="C47" s="12"/>
      <c r="D47" s="12"/>
      <c r="E47" s="12"/>
      <c r="F47" s="12"/>
      <c r="G47" s="12"/>
      <c r="H47" s="12"/>
      <c r="I47" s="12"/>
      <c r="K47" s="12"/>
      <c r="L47" s="12"/>
      <c r="M47" s="12"/>
      <c r="O47" s="12"/>
      <c r="P47" s="12"/>
    </row>
    <row r="48" spans="2:17">
      <c r="B48" s="225" t="s">
        <v>364</v>
      </c>
      <c r="C48" s="12"/>
      <c r="D48" s="12"/>
      <c r="E48" s="12"/>
      <c r="F48" s="12"/>
      <c r="G48" s="12"/>
      <c r="H48" s="12"/>
      <c r="I48" s="12"/>
      <c r="K48" s="12"/>
      <c r="L48" s="12"/>
      <c r="M48" s="12"/>
      <c r="O48" s="12"/>
      <c r="P48" s="12"/>
    </row>
    <row r="49" spans="2:16">
      <c r="B49" s="609"/>
      <c r="C49" s="12"/>
      <c r="D49" s="12"/>
      <c r="E49" s="12"/>
      <c r="F49" s="12"/>
      <c r="G49" s="12"/>
      <c r="H49" s="12"/>
      <c r="I49" s="12"/>
      <c r="K49" s="12"/>
      <c r="L49" s="12"/>
      <c r="M49" s="12"/>
      <c r="O49" s="12"/>
      <c r="P49" s="12"/>
    </row>
    <row r="50" spans="2:16">
      <c r="B50" s="610"/>
      <c r="C50" s="12"/>
      <c r="D50" s="12"/>
      <c r="E50" s="12"/>
      <c r="F50" s="12"/>
      <c r="G50" s="12"/>
      <c r="H50" s="12"/>
      <c r="I50" s="12"/>
      <c r="K50" s="12"/>
      <c r="L50" s="12"/>
      <c r="M50" s="12"/>
      <c r="O50" s="12"/>
      <c r="P50" s="12"/>
    </row>
    <row r="51" spans="2:16">
      <c r="B51" s="611"/>
      <c r="C51" s="12"/>
      <c r="D51" s="12"/>
      <c r="E51" s="12"/>
      <c r="F51" s="12"/>
      <c r="G51" s="12"/>
      <c r="H51" s="12"/>
      <c r="I51" s="12"/>
      <c r="K51" s="12"/>
      <c r="L51" s="12"/>
      <c r="M51" s="12"/>
      <c r="O51" s="12"/>
      <c r="P51" s="12"/>
    </row>
    <row r="52" spans="2:16">
      <c r="B52" s="12"/>
    </row>
    <row r="53" spans="2:16">
      <c r="B53" s="12"/>
    </row>
    <row r="54" spans="2:16">
      <c r="B54" s="12"/>
    </row>
    <row r="55" spans="2:16">
      <c r="B55" s="12"/>
    </row>
  </sheetData>
  <mergeCells count="31">
    <mergeCell ref="B33:C33"/>
    <mergeCell ref="O18:Q18"/>
    <mergeCell ref="B19:C19"/>
    <mergeCell ref="D32:F32"/>
    <mergeCell ref="H32:J32"/>
    <mergeCell ref="L32:N32"/>
    <mergeCell ref="O32:Q32"/>
    <mergeCell ref="B31:C31"/>
    <mergeCell ref="H31:J31"/>
    <mergeCell ref="L31:N31"/>
    <mergeCell ref="O31:Q31"/>
    <mergeCell ref="D6:F6"/>
    <mergeCell ref="H6:J6"/>
    <mergeCell ref="L6:N6"/>
    <mergeCell ref="O6:Q6"/>
    <mergeCell ref="B7:C7"/>
    <mergeCell ref="B17:C17"/>
    <mergeCell ref="H17:J17"/>
    <mergeCell ref="L17:N17"/>
    <mergeCell ref="O17:Q17"/>
    <mergeCell ref="D18:F18"/>
    <mergeCell ref="H18:J18"/>
    <mergeCell ref="L18:N18"/>
    <mergeCell ref="B1:Q1"/>
    <mergeCell ref="B2:Q2"/>
    <mergeCell ref="B3:Q3"/>
    <mergeCell ref="O4:Q4"/>
    <mergeCell ref="B5:C5"/>
    <mergeCell ref="H5:J5"/>
    <mergeCell ref="L5:N5"/>
    <mergeCell ref="O5:Q5"/>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1:H36"/>
  <sheetViews>
    <sheetView showGridLines="0" workbookViewId="0"/>
  </sheetViews>
  <sheetFormatPr defaultRowHeight="15"/>
  <cols>
    <col min="2" max="2" width="18.28515625" bestFit="1" customWidth="1"/>
    <col min="3" max="3" width="8.7109375" bestFit="1" customWidth="1"/>
    <col min="4" max="4" width="13.7109375" bestFit="1" customWidth="1"/>
    <col min="5" max="5" width="13.85546875" bestFit="1" customWidth="1"/>
    <col min="6" max="6" width="8.7109375" bestFit="1" customWidth="1"/>
    <col min="7" max="7" width="13.7109375" bestFit="1" customWidth="1"/>
    <col min="8" max="8" width="13.85546875" bestFit="1" customWidth="1"/>
  </cols>
  <sheetData>
    <row r="1" spans="2:8">
      <c r="B1" s="12"/>
    </row>
    <row r="2" spans="2:8" ht="15.75">
      <c r="B2" s="1015" t="s">
        <v>365</v>
      </c>
      <c r="C2" s="1015"/>
      <c r="D2" s="1015"/>
      <c r="E2" s="1015"/>
      <c r="F2" s="1015"/>
      <c r="G2" s="1015"/>
      <c r="H2" s="1015"/>
    </row>
    <row r="3" spans="2:8">
      <c r="B3" s="1063" t="s">
        <v>366</v>
      </c>
      <c r="C3" s="1063"/>
      <c r="D3" s="1063"/>
      <c r="E3" s="1063"/>
      <c r="F3" s="1063"/>
      <c r="G3" s="1063"/>
      <c r="H3" s="1063"/>
    </row>
    <row r="4" spans="2:8" ht="15.75">
      <c r="B4" s="37"/>
      <c r="C4" s="37"/>
      <c r="D4" s="37"/>
      <c r="E4" s="37"/>
      <c r="F4" s="37"/>
      <c r="G4" s="37"/>
      <c r="H4" s="37"/>
    </row>
    <row r="5" spans="2:8">
      <c r="B5" s="472"/>
      <c r="C5" s="1064" t="s">
        <v>367</v>
      </c>
      <c r="D5" s="1065"/>
      <c r="E5" s="1066"/>
      <c r="F5" s="1067" t="s">
        <v>368</v>
      </c>
      <c r="G5" s="1065"/>
      <c r="H5" s="1068"/>
    </row>
    <row r="6" spans="2:8">
      <c r="B6" s="612"/>
      <c r="C6" s="415"/>
      <c r="D6" s="445" t="s">
        <v>336</v>
      </c>
      <c r="E6" s="613" t="s">
        <v>369</v>
      </c>
      <c r="F6" s="614"/>
      <c r="G6" s="445" t="s">
        <v>336</v>
      </c>
      <c r="H6" s="415" t="s">
        <v>369</v>
      </c>
    </row>
    <row r="7" spans="2:8">
      <c r="B7" s="615"/>
      <c r="C7" s="471" t="s">
        <v>73</v>
      </c>
      <c r="D7" s="616" t="s">
        <v>145</v>
      </c>
      <c r="E7" s="617" t="s">
        <v>370</v>
      </c>
      <c r="F7" s="618" t="s">
        <v>73</v>
      </c>
      <c r="G7" s="616" t="s">
        <v>145</v>
      </c>
      <c r="H7" s="619" t="s">
        <v>370</v>
      </c>
    </row>
    <row r="8" spans="2:8">
      <c r="B8" s="620"/>
      <c r="C8" s="256"/>
      <c r="D8" s="441"/>
      <c r="E8" s="621"/>
      <c r="F8" s="622"/>
      <c r="G8" s="441"/>
      <c r="H8" s="620"/>
    </row>
    <row r="9" spans="2:8">
      <c r="B9" s="620" t="s">
        <v>59</v>
      </c>
      <c r="C9" s="228"/>
      <c r="D9" s="228"/>
      <c r="E9" s="623"/>
      <c r="F9" s="624"/>
      <c r="G9" s="228"/>
      <c r="H9" s="228"/>
    </row>
    <row r="10" spans="2:8">
      <c r="B10" s="625" t="s">
        <v>82</v>
      </c>
      <c r="C10" s="626">
        <v>17035</v>
      </c>
      <c r="D10" s="627">
        <v>40541960</v>
      </c>
      <c r="E10" s="628">
        <v>2.5700000000000001E-2</v>
      </c>
      <c r="F10" s="629">
        <v>16271</v>
      </c>
      <c r="G10" s="627">
        <v>38130388</v>
      </c>
      <c r="H10" s="630">
        <v>2.5899999999999999E-2</v>
      </c>
    </row>
    <row r="11" spans="2:8">
      <c r="B11" s="625" t="s">
        <v>83</v>
      </c>
      <c r="C11" s="626">
        <v>14393</v>
      </c>
      <c r="D11" s="627">
        <v>34975952</v>
      </c>
      <c r="E11" s="628">
        <v>2.7199999999999998E-2</v>
      </c>
      <c r="F11" s="629">
        <v>13524</v>
      </c>
      <c r="G11" s="627">
        <v>33334326</v>
      </c>
      <c r="H11" s="630">
        <v>2.7799999999999998E-2</v>
      </c>
    </row>
    <row r="12" spans="2:8">
      <c r="B12" s="625" t="s">
        <v>84</v>
      </c>
      <c r="C12" s="626">
        <v>4549</v>
      </c>
      <c r="D12" s="627">
        <v>12597737</v>
      </c>
      <c r="E12" s="628">
        <v>2.9499999999999998E-2</v>
      </c>
      <c r="F12" s="629">
        <v>4211</v>
      </c>
      <c r="G12" s="627">
        <v>11816404</v>
      </c>
      <c r="H12" s="630">
        <v>2.9600000000000001E-2</v>
      </c>
    </row>
    <row r="13" spans="2:8">
      <c r="B13" s="625" t="s">
        <v>85</v>
      </c>
      <c r="C13" s="626">
        <v>1241</v>
      </c>
      <c r="D13" s="627">
        <v>1706231</v>
      </c>
      <c r="E13" s="628">
        <v>2.8500000000000001E-2</v>
      </c>
      <c r="F13" s="629">
        <v>1153</v>
      </c>
      <c r="G13" s="627">
        <v>1648609</v>
      </c>
      <c r="H13" s="630">
        <v>2.9600000000000001E-2</v>
      </c>
    </row>
    <row r="14" spans="2:8">
      <c r="B14" s="631" t="s">
        <v>371</v>
      </c>
      <c r="C14" s="626">
        <v>2308</v>
      </c>
      <c r="D14" s="627">
        <v>6487396</v>
      </c>
      <c r="E14" s="628">
        <v>5.1700000000000003E-2</v>
      </c>
      <c r="F14" s="629">
        <v>2243</v>
      </c>
      <c r="G14" s="627">
        <v>6425902</v>
      </c>
      <c r="H14" s="630">
        <v>5.4899999999999997E-2</v>
      </c>
    </row>
    <row r="15" spans="2:8">
      <c r="B15" s="625" t="s">
        <v>86</v>
      </c>
      <c r="C15" s="626">
        <v>4294</v>
      </c>
      <c r="D15" s="627">
        <v>3409794</v>
      </c>
      <c r="E15" s="630">
        <v>0.16800000000000001</v>
      </c>
      <c r="F15" s="629">
        <v>4494</v>
      </c>
      <c r="G15" s="627">
        <v>3693375</v>
      </c>
      <c r="H15" s="630">
        <v>0.1356</v>
      </c>
    </row>
    <row r="16" spans="2:8">
      <c r="B16" s="625"/>
      <c r="C16" s="632"/>
      <c r="D16" s="633"/>
      <c r="E16" s="634"/>
      <c r="F16" s="635"/>
      <c r="G16" s="633"/>
      <c r="H16" s="636"/>
    </row>
    <row r="17" spans="2:8">
      <c r="B17" s="620" t="s">
        <v>60</v>
      </c>
      <c r="C17" s="637"/>
      <c r="D17" s="638"/>
      <c r="E17" s="639"/>
      <c r="F17" s="640"/>
      <c r="G17" s="638"/>
      <c r="H17" s="638"/>
    </row>
    <row r="18" spans="2:8">
      <c r="B18" s="631" t="s">
        <v>372</v>
      </c>
      <c r="C18" s="626">
        <v>3678</v>
      </c>
      <c r="D18" s="627">
        <v>31245985</v>
      </c>
      <c r="E18" s="641">
        <v>1.77E-2</v>
      </c>
      <c r="F18" s="629">
        <v>3673</v>
      </c>
      <c r="G18" s="627">
        <v>31679008</v>
      </c>
      <c r="H18" s="630">
        <v>1.8700000000000001E-2</v>
      </c>
    </row>
    <row r="19" spans="2:8">
      <c r="B19" s="631" t="s">
        <v>373</v>
      </c>
      <c r="C19" s="626">
        <v>267</v>
      </c>
      <c r="D19" s="627">
        <v>8704975</v>
      </c>
      <c r="E19" s="641">
        <v>3.0999999999999999E-3</v>
      </c>
      <c r="F19" s="629">
        <v>375</v>
      </c>
      <c r="G19" s="627">
        <v>11308435</v>
      </c>
      <c r="H19" s="630">
        <v>4.4000000000000003E-3</v>
      </c>
    </row>
    <row r="20" spans="2:8">
      <c r="B20" s="631" t="s">
        <v>89</v>
      </c>
      <c r="C20" s="626">
        <v>454</v>
      </c>
      <c r="D20" s="627">
        <v>10796510</v>
      </c>
      <c r="E20" s="641">
        <v>4.0000000000000001E-3</v>
      </c>
      <c r="F20" s="629">
        <v>490</v>
      </c>
      <c r="G20" s="627">
        <v>9718622</v>
      </c>
      <c r="H20" s="630">
        <v>4.0000000000000001E-3</v>
      </c>
    </row>
    <row r="21" spans="2:8">
      <c r="B21" s="631" t="s">
        <v>85</v>
      </c>
      <c r="C21" s="626">
        <v>10088</v>
      </c>
      <c r="D21" s="627">
        <v>37884017</v>
      </c>
      <c r="E21" s="641">
        <v>2.47E-2</v>
      </c>
      <c r="F21" s="629">
        <v>12048</v>
      </c>
      <c r="G21" s="627">
        <v>35701097</v>
      </c>
      <c r="H21" s="630">
        <v>2.5499999999999998E-2</v>
      </c>
    </row>
    <row r="22" spans="2:8">
      <c r="B22" s="631" t="s">
        <v>371</v>
      </c>
      <c r="C22" s="626">
        <v>1101</v>
      </c>
      <c r="D22" s="627">
        <v>7836043</v>
      </c>
      <c r="E22" s="642">
        <v>3.1800000000000002E-2</v>
      </c>
      <c r="F22" s="629">
        <v>1136</v>
      </c>
      <c r="G22" s="627">
        <v>7894362</v>
      </c>
      <c r="H22" s="630">
        <v>3.3300000000000003E-2</v>
      </c>
    </row>
    <row r="23" spans="2:8">
      <c r="B23" s="625"/>
      <c r="C23" s="637"/>
      <c r="D23" s="638"/>
      <c r="E23" s="639"/>
      <c r="F23" s="640"/>
      <c r="G23" s="638"/>
      <c r="H23" s="638"/>
    </row>
    <row r="24" spans="2:8">
      <c r="B24" s="620" t="s">
        <v>62</v>
      </c>
      <c r="C24" s="637"/>
      <c r="D24" s="638"/>
      <c r="E24" s="639"/>
      <c r="F24" s="640"/>
      <c r="G24" s="638"/>
      <c r="H24" s="638"/>
    </row>
    <row r="25" spans="2:8">
      <c r="B25" s="612" t="s">
        <v>98</v>
      </c>
      <c r="C25" s="626">
        <v>381</v>
      </c>
      <c r="D25" s="627">
        <v>12685392</v>
      </c>
      <c r="E25" s="641">
        <v>2.5999999999999999E-3</v>
      </c>
      <c r="F25" s="629">
        <v>491</v>
      </c>
      <c r="G25" s="627">
        <v>37552116</v>
      </c>
      <c r="H25" s="643">
        <v>8.2000000000000007E-3</v>
      </c>
    </row>
    <row r="26" spans="2:8">
      <c r="B26" s="644" t="s">
        <v>101</v>
      </c>
      <c r="C26" s="626">
        <v>1483</v>
      </c>
      <c r="D26" s="627">
        <v>21411643</v>
      </c>
      <c r="E26" s="641">
        <v>1.61E-2</v>
      </c>
      <c r="F26" s="629">
        <v>1717</v>
      </c>
      <c r="G26" s="627">
        <v>22089390</v>
      </c>
      <c r="H26" s="643">
        <v>1.77E-2</v>
      </c>
    </row>
    <row r="27" spans="2:8">
      <c r="B27" s="644" t="s">
        <v>100</v>
      </c>
      <c r="C27" s="626">
        <v>29</v>
      </c>
      <c r="D27" s="627">
        <v>710369</v>
      </c>
      <c r="E27" s="641">
        <v>4.0000000000000001E-3</v>
      </c>
      <c r="F27" s="629">
        <v>31</v>
      </c>
      <c r="G27" s="627">
        <v>729497</v>
      </c>
      <c r="H27" s="643">
        <v>3.8999999999999998E-3</v>
      </c>
    </row>
    <row r="28" spans="2:8">
      <c r="B28" s="644" t="s">
        <v>114</v>
      </c>
      <c r="C28" s="626">
        <v>53</v>
      </c>
      <c r="D28" s="627">
        <v>3617485</v>
      </c>
      <c r="E28" s="641">
        <v>4.4000000000000003E-3</v>
      </c>
      <c r="F28" s="629">
        <v>25</v>
      </c>
      <c r="G28" s="627">
        <v>1899590</v>
      </c>
      <c r="H28" s="643">
        <v>2.5999999999999999E-3</v>
      </c>
    </row>
    <row r="29" spans="2:8">
      <c r="B29" s="644" t="s">
        <v>103</v>
      </c>
      <c r="C29" s="626">
        <v>384</v>
      </c>
      <c r="D29" s="627">
        <v>5335698</v>
      </c>
      <c r="E29" s="641">
        <v>3.1300000000000001E-2</v>
      </c>
      <c r="F29" s="629">
        <v>483</v>
      </c>
      <c r="G29" s="627">
        <v>6922722</v>
      </c>
      <c r="H29" s="643">
        <v>4.1399999999999999E-2</v>
      </c>
    </row>
    <row r="30" spans="2:8">
      <c r="B30" s="645" t="s">
        <v>374</v>
      </c>
      <c r="C30" s="626">
        <v>3125</v>
      </c>
      <c r="D30" s="627">
        <v>12776312</v>
      </c>
      <c r="E30" s="641">
        <v>8.5000000000000006E-3</v>
      </c>
      <c r="F30" s="629">
        <v>3592</v>
      </c>
      <c r="G30" s="627">
        <v>8347919</v>
      </c>
      <c r="H30" s="643">
        <v>6.1999999999999998E-3</v>
      </c>
    </row>
    <row r="31" spans="2:8">
      <c r="B31" s="644" t="s">
        <v>108</v>
      </c>
      <c r="C31" s="626">
        <v>1424</v>
      </c>
      <c r="D31" s="627">
        <v>11148009</v>
      </c>
      <c r="E31" s="641">
        <v>3.9899999999999998E-2</v>
      </c>
      <c r="F31" s="629">
        <v>1705</v>
      </c>
      <c r="G31" s="627">
        <v>11447517</v>
      </c>
      <c r="H31" s="643">
        <v>4.1399999999999999E-2</v>
      </c>
    </row>
    <row r="32" spans="2:8">
      <c r="B32" s="644" t="s">
        <v>104</v>
      </c>
      <c r="C32" s="626">
        <v>494</v>
      </c>
      <c r="D32" s="627">
        <v>6349373</v>
      </c>
      <c r="E32" s="641">
        <v>1.9599999999999999E-2</v>
      </c>
      <c r="F32" s="629">
        <v>609</v>
      </c>
      <c r="G32" s="627">
        <v>10496305</v>
      </c>
      <c r="H32" s="643">
        <v>3.4799999999999998E-2</v>
      </c>
    </row>
    <row r="33" spans="2:8">
      <c r="B33" s="644" t="s">
        <v>86</v>
      </c>
      <c r="C33" s="626">
        <v>1125</v>
      </c>
      <c r="D33" s="627">
        <v>14986413</v>
      </c>
      <c r="E33" s="641">
        <v>0.1154</v>
      </c>
      <c r="F33" s="629">
        <v>1105</v>
      </c>
      <c r="G33" s="627">
        <v>15560207</v>
      </c>
      <c r="H33" s="643">
        <v>9.4700000000000006E-2</v>
      </c>
    </row>
    <row r="34" spans="2:8">
      <c r="B34" s="644" t="s">
        <v>375</v>
      </c>
      <c r="C34" s="626">
        <v>47</v>
      </c>
      <c r="D34" s="627">
        <v>14783394</v>
      </c>
      <c r="E34" s="641">
        <v>9.5600000000000004E-2</v>
      </c>
      <c r="F34" s="629">
        <v>75</v>
      </c>
      <c r="G34" s="627">
        <v>3141297</v>
      </c>
      <c r="H34" s="643">
        <v>2.4299999999999999E-2</v>
      </c>
    </row>
    <row r="35" spans="2:8">
      <c r="B35" s="644" t="s">
        <v>376</v>
      </c>
      <c r="C35" s="626">
        <v>85</v>
      </c>
      <c r="D35" s="627">
        <v>9406584</v>
      </c>
      <c r="E35" s="641">
        <v>8.4400000000000003E-2</v>
      </c>
      <c r="F35" s="629">
        <v>103</v>
      </c>
      <c r="G35" s="627">
        <v>8152506</v>
      </c>
      <c r="H35" s="643">
        <v>7.9200000000000007E-2</v>
      </c>
    </row>
    <row r="36" spans="2:8">
      <c r="B36" s="646" t="s">
        <v>111</v>
      </c>
      <c r="C36" s="647">
        <v>6</v>
      </c>
      <c r="D36" s="648">
        <v>448404</v>
      </c>
      <c r="E36" s="649">
        <v>1.2E-2</v>
      </c>
      <c r="F36" s="650">
        <v>5</v>
      </c>
      <c r="G36" s="648">
        <v>104425</v>
      </c>
      <c r="H36" s="651">
        <v>2.9999999999999997E-4</v>
      </c>
    </row>
  </sheetData>
  <mergeCells count="4">
    <mergeCell ref="B2:H2"/>
    <mergeCell ref="B3:H3"/>
    <mergeCell ref="C5:E5"/>
    <mergeCell ref="F5:H5"/>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P74"/>
  <sheetViews>
    <sheetView showGridLines="0" topLeftCell="A25" workbookViewId="0">
      <selection activeCell="I34" sqref="I34"/>
    </sheetView>
  </sheetViews>
  <sheetFormatPr defaultColWidth="12.5703125" defaultRowHeight="15"/>
  <cols>
    <col min="2" max="2" width="10" customWidth="1"/>
    <col min="3" max="3" width="2.28515625" customWidth="1"/>
    <col min="4" max="4" width="16.85546875" customWidth="1"/>
    <col min="5" max="5" width="2.28515625" customWidth="1"/>
    <col min="6" max="6" width="14.140625" customWidth="1"/>
    <col min="7" max="7" width="2.28515625" customWidth="1"/>
    <col min="8" max="8" width="14.140625" customWidth="1"/>
    <col min="9" max="9" width="2.28515625" customWidth="1"/>
    <col min="10" max="10" width="14.140625" customWidth="1"/>
    <col min="11" max="11" width="2.28515625" customWidth="1"/>
    <col min="12" max="12" width="14.140625" customWidth="1"/>
    <col min="13" max="13" width="2.28515625" customWidth="1"/>
    <col min="14" max="14" width="20" bestFit="1" customWidth="1"/>
    <col min="15" max="15" width="2.28515625" customWidth="1"/>
    <col min="16" max="16" width="5.5703125" customWidth="1"/>
    <col min="17" max="17" width="4" customWidth="1"/>
  </cols>
  <sheetData>
    <row r="1" spans="2:16" ht="18">
      <c r="B1" s="1069" t="s">
        <v>377</v>
      </c>
      <c r="C1" s="1069"/>
      <c r="D1" s="1069"/>
      <c r="E1" s="1069"/>
      <c r="F1" s="1069"/>
      <c r="G1" s="1069"/>
      <c r="H1" s="1069"/>
      <c r="I1" s="1069"/>
      <c r="J1" s="1069"/>
      <c r="K1" s="1069"/>
      <c r="L1" s="1069"/>
      <c r="M1" s="1069"/>
      <c r="N1" s="652"/>
      <c r="O1" s="652"/>
      <c r="P1" s="653"/>
    </row>
    <row r="2" spans="2:16" ht="17.25" customHeight="1">
      <c r="B2" s="1069" t="s">
        <v>378</v>
      </c>
      <c r="C2" s="1069"/>
      <c r="D2" s="1069"/>
      <c r="E2" s="1069"/>
      <c r="F2" s="1069"/>
      <c r="G2" s="1069"/>
      <c r="H2" s="1069"/>
      <c r="I2" s="1069"/>
      <c r="J2" s="1069"/>
      <c r="K2" s="1069"/>
      <c r="L2" s="1069"/>
      <c r="M2" s="1069"/>
      <c r="N2" s="652"/>
      <c r="O2" s="652"/>
      <c r="P2" s="653"/>
    </row>
    <row r="3" spans="2:16" ht="15.95" customHeight="1">
      <c r="B3" s="1070" t="s">
        <v>272</v>
      </c>
      <c r="C3" s="1070"/>
      <c r="D3" s="1070"/>
      <c r="E3" s="1070"/>
      <c r="F3" s="1070"/>
      <c r="G3" s="1070"/>
      <c r="H3" s="1070"/>
      <c r="I3" s="1070"/>
      <c r="J3" s="1070"/>
      <c r="K3" s="1070"/>
      <c r="L3" s="1070"/>
      <c r="M3" s="1070"/>
      <c r="N3" s="654"/>
      <c r="O3" s="654"/>
      <c r="P3" s="653"/>
    </row>
    <row r="4" spans="2:16" ht="12" customHeight="1">
      <c r="B4" s="37"/>
      <c r="C4" s="37"/>
      <c r="D4" s="37"/>
      <c r="E4" s="37"/>
      <c r="F4" s="37"/>
      <c r="G4" s="37"/>
      <c r="H4" s="37"/>
      <c r="I4" s="37"/>
      <c r="J4" s="37"/>
      <c r="K4" s="37"/>
      <c r="L4" s="37"/>
      <c r="M4" s="37"/>
      <c r="N4" s="420"/>
      <c r="O4" s="37"/>
      <c r="P4" s="653"/>
    </row>
    <row r="5" spans="2:16" ht="15.75">
      <c r="B5" s="655" t="s">
        <v>379</v>
      </c>
      <c r="C5" s="1071" t="s">
        <v>58</v>
      </c>
      <c r="D5" s="1072"/>
      <c r="E5" s="1072"/>
      <c r="F5" s="1072"/>
      <c r="G5" s="1072"/>
      <c r="H5" s="1072"/>
      <c r="I5" s="1072"/>
      <c r="J5" s="1072"/>
      <c r="K5" s="1072"/>
      <c r="L5" s="1072"/>
      <c r="M5" s="1073"/>
      <c r="N5" s="656"/>
      <c r="P5" s="653"/>
    </row>
    <row r="6" spans="2:16" ht="15.75">
      <c r="B6" s="657" t="s">
        <v>311</v>
      </c>
      <c r="C6" s="658"/>
      <c r="D6" s="659" t="s">
        <v>265</v>
      </c>
      <c r="E6" s="660"/>
      <c r="F6" s="659" t="s">
        <v>47</v>
      </c>
      <c r="G6" s="660"/>
      <c r="H6" s="659" t="s">
        <v>48</v>
      </c>
      <c r="I6" s="660"/>
      <c r="J6" s="659" t="s">
        <v>49</v>
      </c>
      <c r="K6" s="660"/>
      <c r="L6" s="659" t="s">
        <v>50</v>
      </c>
      <c r="M6" s="661"/>
      <c r="P6" s="653"/>
    </row>
    <row r="7" spans="2:16" ht="6.95" customHeight="1">
      <c r="B7" s="303"/>
      <c r="C7" s="662"/>
      <c r="D7" s="420"/>
      <c r="E7" s="420"/>
      <c r="F7" s="420"/>
      <c r="G7" s="420"/>
      <c r="H7" s="420"/>
      <c r="I7" s="420"/>
      <c r="J7" s="420"/>
      <c r="K7" s="420"/>
      <c r="L7" s="420"/>
      <c r="M7" s="424"/>
      <c r="P7" s="653"/>
    </row>
    <row r="8" spans="2:16" ht="15.6" customHeight="1">
      <c r="B8" s="664">
        <v>1998</v>
      </c>
      <c r="C8" s="420"/>
      <c r="D8" s="663">
        <f t="shared" ref="D8:D17" si="0">SUM(F8:L8)</f>
        <v>298357.01300000004</v>
      </c>
      <c r="E8" s="420"/>
      <c r="F8" s="663">
        <v>130899.227</v>
      </c>
      <c r="G8" s="663"/>
      <c r="H8" s="663">
        <v>64914.648000000001</v>
      </c>
      <c r="I8" s="663"/>
      <c r="J8" s="663">
        <v>14584.124</v>
      </c>
      <c r="K8" s="663"/>
      <c r="L8" s="663">
        <v>87959.013999999996</v>
      </c>
      <c r="M8" s="424"/>
      <c r="P8" s="653"/>
    </row>
    <row r="9" spans="2:16" ht="15.6" customHeight="1">
      <c r="B9" s="665">
        <v>1999</v>
      </c>
      <c r="C9" s="420"/>
      <c r="D9" s="663">
        <f t="shared" si="0"/>
        <v>311368.67</v>
      </c>
      <c r="E9" s="420"/>
      <c r="F9" s="663">
        <v>136194.53</v>
      </c>
      <c r="G9" s="663"/>
      <c r="H9" s="663">
        <v>68070.34</v>
      </c>
      <c r="I9" s="663"/>
      <c r="J9" s="663">
        <v>14498.9</v>
      </c>
      <c r="K9" s="663"/>
      <c r="L9" s="663">
        <v>92604.9</v>
      </c>
      <c r="M9" s="424"/>
      <c r="P9" s="653"/>
    </row>
    <row r="10" spans="2:16" ht="15.6" customHeight="1">
      <c r="B10" s="665">
        <v>2000</v>
      </c>
      <c r="C10" s="420"/>
      <c r="D10" s="663">
        <f t="shared" si="0"/>
        <v>326921.8</v>
      </c>
      <c r="E10" s="420"/>
      <c r="F10" s="663">
        <v>143143.5</v>
      </c>
      <c r="G10" s="663"/>
      <c r="H10" s="663">
        <v>72470.3</v>
      </c>
      <c r="I10" s="663"/>
      <c r="J10" s="663">
        <v>14730.6</v>
      </c>
      <c r="K10" s="663"/>
      <c r="L10" s="663">
        <v>96577.4</v>
      </c>
      <c r="M10" s="424"/>
      <c r="P10" s="653"/>
    </row>
    <row r="11" spans="2:16" ht="15.6" customHeight="1">
      <c r="B11" s="664">
        <v>2001</v>
      </c>
      <c r="C11" s="420"/>
      <c r="D11" s="663">
        <f t="shared" si="0"/>
        <v>354348.38</v>
      </c>
      <c r="E11" s="420"/>
      <c r="F11" s="663">
        <v>158939.6</v>
      </c>
      <c r="G11" s="663"/>
      <c r="H11" s="663">
        <v>77994.59</v>
      </c>
      <c r="I11" s="663"/>
      <c r="J11" s="663">
        <v>14064.23</v>
      </c>
      <c r="K11" s="663"/>
      <c r="L11" s="663">
        <v>103349.96</v>
      </c>
      <c r="M11" s="424"/>
      <c r="P11" s="653"/>
    </row>
    <row r="12" spans="2:16" ht="15.6" customHeight="1">
      <c r="B12" s="665">
        <v>2002</v>
      </c>
      <c r="C12" s="420"/>
      <c r="D12" s="663">
        <f t="shared" si="0"/>
        <v>392347.59700000007</v>
      </c>
      <c r="E12" s="420"/>
      <c r="F12" s="663">
        <v>180721.66</v>
      </c>
      <c r="G12" s="663"/>
      <c r="H12" s="663">
        <v>85930.338000000003</v>
      </c>
      <c r="I12" s="663"/>
      <c r="J12" s="663">
        <v>14536.178</v>
      </c>
      <c r="K12" s="663"/>
      <c r="L12" s="663">
        <v>111159.421</v>
      </c>
      <c r="M12" s="424"/>
      <c r="P12" s="653"/>
    </row>
    <row r="13" spans="2:16" ht="15.6" customHeight="1">
      <c r="B13" s="664">
        <v>2003</v>
      </c>
      <c r="C13" s="662"/>
      <c r="D13" s="663">
        <f t="shared" si="0"/>
        <v>429810.44699999993</v>
      </c>
      <c r="E13" s="420"/>
      <c r="F13" s="663">
        <v>205031.61</v>
      </c>
      <c r="G13" s="663"/>
      <c r="H13" s="663">
        <v>94015.394</v>
      </c>
      <c r="I13" s="663"/>
      <c r="J13" s="663">
        <v>15213.653</v>
      </c>
      <c r="K13" s="663"/>
      <c r="L13" s="663">
        <v>115549.79</v>
      </c>
      <c r="M13" s="424"/>
      <c r="P13" s="653"/>
    </row>
    <row r="14" spans="2:16" ht="15.6" customHeight="1">
      <c r="B14" s="665">
        <v>2004</v>
      </c>
      <c r="D14" s="666">
        <f t="shared" si="0"/>
        <v>466677.68599999999</v>
      </c>
      <c r="F14" s="666">
        <v>232904.44399999999</v>
      </c>
      <c r="H14" s="666">
        <v>97425.642000000007</v>
      </c>
      <c r="J14" s="666">
        <v>15622.398999999999</v>
      </c>
      <c r="L14" s="666">
        <v>120725.201</v>
      </c>
      <c r="M14" s="424"/>
      <c r="P14" s="653"/>
    </row>
    <row r="15" spans="2:16" ht="15.6" customHeight="1">
      <c r="B15" s="664">
        <v>2005</v>
      </c>
      <c r="D15" s="666">
        <f t="shared" si="0"/>
        <v>540384.44099999999</v>
      </c>
      <c r="F15" s="666">
        <v>283558.96399999998</v>
      </c>
      <c r="H15" s="666">
        <v>115880.27899999999</v>
      </c>
      <c r="J15" s="666">
        <v>16657.243999999999</v>
      </c>
      <c r="L15" s="666">
        <v>124287.954</v>
      </c>
      <c r="M15" s="424"/>
      <c r="P15" s="653"/>
    </row>
    <row r="16" spans="2:16" ht="15.6" customHeight="1">
      <c r="B16" s="664">
        <v>2006</v>
      </c>
      <c r="D16" s="666">
        <f t="shared" si="0"/>
        <v>614003.69999999995</v>
      </c>
      <c r="F16" s="666">
        <v>325068.5</v>
      </c>
      <c r="H16" s="666">
        <v>131377</v>
      </c>
      <c r="J16" s="666">
        <v>18909.900000000001</v>
      </c>
      <c r="L16" s="666">
        <v>138648.29999999999</v>
      </c>
      <c r="M16" s="424"/>
      <c r="P16" s="653"/>
    </row>
    <row r="17" spans="2:16" ht="15.6" customHeight="1">
      <c r="B17" s="664">
        <v>2007</v>
      </c>
      <c r="D17" s="666">
        <f t="shared" si="0"/>
        <v>674091.6</v>
      </c>
      <c r="F17" s="666">
        <v>367055.5</v>
      </c>
      <c r="H17" s="666">
        <v>140940.4</v>
      </c>
      <c r="J17" s="666">
        <v>20189.599999999999</v>
      </c>
      <c r="L17" s="666">
        <v>145906.1</v>
      </c>
      <c r="M17" s="424"/>
      <c r="P17" s="653"/>
    </row>
    <row r="18" spans="2:16" ht="15.6" customHeight="1">
      <c r="B18" s="664">
        <v>2008</v>
      </c>
      <c r="C18" s="420"/>
      <c r="D18" s="666">
        <f>SUM(F18:L18)-0.1</f>
        <v>795932.39999999991</v>
      </c>
      <c r="E18" s="420"/>
      <c r="F18" s="666">
        <v>426889.3</v>
      </c>
      <c r="G18" s="420"/>
      <c r="H18" s="666">
        <v>175753.9</v>
      </c>
      <c r="I18" s="666"/>
      <c r="J18" s="666">
        <v>19612.2</v>
      </c>
      <c r="K18" s="666"/>
      <c r="L18" s="666">
        <v>173677.1</v>
      </c>
      <c r="M18" s="424"/>
      <c r="P18" s="653"/>
    </row>
    <row r="19" spans="2:16" ht="15.6" customHeight="1">
      <c r="B19" s="664">
        <v>2009</v>
      </c>
      <c r="C19" s="662"/>
      <c r="D19" s="666">
        <f t="shared" ref="D19:D26" si="1">SUM(F19:L19)</f>
        <v>811141.30817600002</v>
      </c>
      <c r="E19" s="420"/>
      <c r="F19" s="666">
        <v>422822.21174900001</v>
      </c>
      <c r="G19" s="420"/>
      <c r="H19" s="666">
        <v>186043.723364</v>
      </c>
      <c r="I19" s="666"/>
      <c r="J19" s="666">
        <v>22378.683527000001</v>
      </c>
      <c r="K19" s="666"/>
      <c r="L19" s="666">
        <v>179896.68953599999</v>
      </c>
      <c r="M19" s="667"/>
      <c r="P19" s="653"/>
    </row>
    <row r="20" spans="2:16" ht="15.6" customHeight="1">
      <c r="B20" s="668">
        <v>2010</v>
      </c>
      <c r="C20" s="303"/>
      <c r="D20" s="666">
        <f t="shared" si="1"/>
        <v>795657.27147699997</v>
      </c>
      <c r="E20" s="420"/>
      <c r="F20" s="666">
        <v>401679.87719799997</v>
      </c>
      <c r="G20" s="420"/>
      <c r="H20" s="666">
        <v>182296.945355</v>
      </c>
      <c r="I20" s="666"/>
      <c r="J20" s="666">
        <v>24029.061384000001</v>
      </c>
      <c r="K20" s="666"/>
      <c r="L20" s="666">
        <v>187651.38754</v>
      </c>
      <c r="M20" s="424"/>
      <c r="P20" s="653"/>
    </row>
    <row r="21" spans="2:16" ht="15.6" customHeight="1">
      <c r="B21" s="668">
        <v>2011</v>
      </c>
      <c r="C21" s="303"/>
      <c r="D21" s="666">
        <f t="shared" si="1"/>
        <v>793741.61950299994</v>
      </c>
      <c r="E21" s="420"/>
      <c r="F21" s="666">
        <v>390337.077467</v>
      </c>
      <c r="G21" s="420"/>
      <c r="H21" s="666">
        <v>188766.568417</v>
      </c>
      <c r="I21" s="666"/>
      <c r="J21" s="666">
        <v>25373.961009999999</v>
      </c>
      <c r="K21" s="666"/>
      <c r="L21" s="666">
        <v>189264.012609</v>
      </c>
      <c r="M21" s="424"/>
      <c r="P21" s="653"/>
    </row>
    <row r="22" spans="2:16" ht="15.6" customHeight="1">
      <c r="B22" s="668">
        <v>2012</v>
      </c>
      <c r="C22" s="303"/>
      <c r="D22" s="666">
        <f t="shared" si="1"/>
        <v>814422.10410099989</v>
      </c>
      <c r="E22" s="420"/>
      <c r="F22" s="666">
        <v>393683.417503</v>
      </c>
      <c r="G22" s="666"/>
      <c r="H22" s="666">
        <v>189482.83387100001</v>
      </c>
      <c r="I22" s="666"/>
      <c r="J22" s="666">
        <v>24893.641428999999</v>
      </c>
      <c r="K22" s="666"/>
      <c r="L22" s="666">
        <v>206362.21129800001</v>
      </c>
      <c r="M22" s="424"/>
      <c r="P22" s="653"/>
    </row>
    <row r="23" spans="2:16" ht="15.6" customHeight="1">
      <c r="B23" s="668">
        <v>2013</v>
      </c>
      <c r="C23" s="303"/>
      <c r="D23" s="666">
        <f t="shared" si="1"/>
        <v>838003.18499099999</v>
      </c>
      <c r="E23" s="420"/>
      <c r="F23" s="666">
        <f>400288244790/1000000</f>
        <v>400288.24479000003</v>
      </c>
      <c r="G23" s="666"/>
      <c r="H23" s="666">
        <f>195251380823/1000000</f>
        <v>195251.38082300001</v>
      </c>
      <c r="I23" s="666"/>
      <c r="J23" s="666">
        <f>26102500051/1000000</f>
        <v>26102.500050999999</v>
      </c>
      <c r="K23" s="666"/>
      <c r="L23" s="666">
        <f>216361059327/1000000</f>
        <v>216361.059327</v>
      </c>
      <c r="M23" s="424"/>
      <c r="P23" s="653"/>
    </row>
    <row r="24" spans="2:16" ht="15.6" customHeight="1">
      <c r="B24" s="668">
        <v>2014</v>
      </c>
      <c r="C24" s="420"/>
      <c r="D24" s="666">
        <f t="shared" si="1"/>
        <v>858102.42305099999</v>
      </c>
      <c r="E24" s="420"/>
      <c r="F24" s="666">
        <f>396854697682/1000000</f>
        <v>396854.697682</v>
      </c>
      <c r="G24" s="666"/>
      <c r="H24" s="666">
        <f>202479432963/1000000</f>
        <v>202479.432963</v>
      </c>
      <c r="I24" s="666"/>
      <c r="J24" s="666">
        <f>28192824701/1000000</f>
        <v>28192.824701000001</v>
      </c>
      <c r="K24" s="666"/>
      <c r="L24" s="666">
        <f>230575467705/1000000</f>
        <v>230575.46770499999</v>
      </c>
      <c r="M24" s="424"/>
      <c r="P24" s="653"/>
    </row>
    <row r="25" spans="2:16" ht="15.6" customHeight="1">
      <c r="B25" s="668">
        <v>2015</v>
      </c>
      <c r="C25" s="420"/>
      <c r="D25" s="666">
        <f t="shared" si="1"/>
        <v>906273.82973400014</v>
      </c>
      <c r="E25" s="420"/>
      <c r="F25" s="666">
        <f>[2]CITYWIDE!$AB$15/1000000</f>
        <v>415225.84381400002</v>
      </c>
      <c r="G25" s="666"/>
      <c r="H25" s="666">
        <f>[2]CITYWIDE!$AB$25/1000000</f>
        <v>215863.86335699999</v>
      </c>
      <c r="I25" s="666"/>
      <c r="J25" s="666">
        <f>[2]CITYWIDE!$AB$29/1000000</f>
        <v>28438.657030999999</v>
      </c>
      <c r="K25" s="666"/>
      <c r="L25" s="666">
        <f>[2]CITYWIDE!$AB$59/1000000</f>
        <v>246745.465532</v>
      </c>
      <c r="M25" s="424"/>
      <c r="P25" s="653"/>
    </row>
    <row r="26" spans="2:16" ht="15.6" customHeight="1">
      <c r="B26" s="668">
        <v>2016</v>
      </c>
      <c r="C26" s="303"/>
      <c r="D26" s="666">
        <f t="shared" si="1"/>
        <v>969430.39319700003</v>
      </c>
      <c r="E26" s="420"/>
      <c r="F26" s="666">
        <f>[3]CITYWIDE!$AB$15/1000000</f>
        <v>442358.45652100001</v>
      </c>
      <c r="G26" s="666"/>
      <c r="H26" s="666">
        <f>[3]CITYWIDE!$AB$25/1000000</f>
        <v>234465.618449</v>
      </c>
      <c r="I26" s="666"/>
      <c r="J26" s="666">
        <f>[3]CITYWIDE!$AB$29/1000000</f>
        <v>30721.051186000001</v>
      </c>
      <c r="K26" s="666"/>
      <c r="L26" s="666">
        <f>[3]CITYWIDE!$AB$61/1000000</f>
        <v>261885.26704100001</v>
      </c>
      <c r="M26" s="424"/>
      <c r="P26" s="653"/>
    </row>
    <row r="27" spans="2:16" ht="15.6" customHeight="1">
      <c r="B27" s="669">
        <v>2017</v>
      </c>
      <c r="C27" s="433"/>
      <c r="D27" s="670">
        <f>SUM(F27:L27)</f>
        <v>1064244.4844729998</v>
      </c>
      <c r="E27" s="433"/>
      <c r="F27" s="670">
        <f>[4]CITYWIDE!$I$16/1000000</f>
        <v>496340.21856399998</v>
      </c>
      <c r="G27" s="670"/>
      <c r="H27" s="670">
        <f>[4]CITYWIDE!$I$26/1000000</f>
        <v>256799.85305999999</v>
      </c>
      <c r="I27" s="670"/>
      <c r="J27" s="670">
        <f>[4]CITYWIDE!$I$30/1000000</f>
        <v>32328.263921000002</v>
      </c>
      <c r="K27" s="670"/>
      <c r="L27" s="670">
        <f>[4]CITYWIDE!$I$60/1000000</f>
        <v>278776.14892800001</v>
      </c>
      <c r="M27" s="661"/>
      <c r="P27" s="653"/>
    </row>
    <row r="28" spans="2:16" ht="15.75">
      <c r="B28" s="37"/>
      <c r="C28" s="37"/>
      <c r="D28" s="37"/>
      <c r="E28" s="37"/>
      <c r="O28" s="37"/>
      <c r="P28" s="653"/>
    </row>
    <row r="29" spans="2:16" ht="15.75">
      <c r="B29" s="671" t="s">
        <v>379</v>
      </c>
      <c r="C29" s="1071" t="s">
        <v>380</v>
      </c>
      <c r="D29" s="1072"/>
      <c r="E29" s="1072"/>
      <c r="F29" s="1072"/>
      <c r="G29" s="1072"/>
      <c r="H29" s="1072"/>
      <c r="I29" s="1072"/>
      <c r="J29" s="1072"/>
      <c r="K29" s="1072"/>
      <c r="L29" s="1072"/>
      <c r="M29" s="1074"/>
      <c r="P29" s="653"/>
    </row>
    <row r="30" spans="2:16" ht="15.75">
      <c r="B30" s="672" t="s">
        <v>311</v>
      </c>
      <c r="C30" s="658"/>
      <c r="D30" s="659" t="s">
        <v>42</v>
      </c>
      <c r="E30" s="660"/>
      <c r="F30" s="659" t="s">
        <v>43</v>
      </c>
      <c r="G30" s="660"/>
      <c r="H30" s="659" t="s">
        <v>44</v>
      </c>
      <c r="I30" s="660"/>
      <c r="J30" s="659" t="s">
        <v>45</v>
      </c>
      <c r="K30" s="660"/>
      <c r="L30" s="673" t="s">
        <v>46</v>
      </c>
      <c r="M30" s="674"/>
      <c r="P30" s="653"/>
    </row>
    <row r="31" spans="2:16" ht="6.95" customHeight="1">
      <c r="B31" s="675"/>
      <c r="C31" s="662"/>
      <c r="D31" s="37"/>
      <c r="E31" s="37"/>
      <c r="F31" s="37"/>
      <c r="G31" s="37"/>
      <c r="H31" s="37"/>
      <c r="I31" s="37"/>
      <c r="J31" s="37"/>
      <c r="K31" s="37"/>
      <c r="L31" s="37"/>
      <c r="M31" s="667"/>
      <c r="P31" s="653"/>
    </row>
    <row r="32" spans="2:16" ht="15.75" customHeight="1">
      <c r="B32" s="664">
        <v>1998</v>
      </c>
      <c r="C32" s="37"/>
      <c r="D32" s="676">
        <v>110905.363</v>
      </c>
      <c r="E32" s="676"/>
      <c r="F32" s="676">
        <v>21439.705999999998</v>
      </c>
      <c r="G32" s="676"/>
      <c r="H32" s="676">
        <v>63631.593000000001</v>
      </c>
      <c r="I32" s="676"/>
      <c r="J32" s="676">
        <v>79692.387000000002</v>
      </c>
      <c r="K32" s="676"/>
      <c r="L32" s="676">
        <v>22687.964</v>
      </c>
      <c r="M32" s="667"/>
      <c r="P32" s="677"/>
    </row>
    <row r="33" spans="2:16" ht="15.75" customHeight="1">
      <c r="B33" s="665">
        <v>1999</v>
      </c>
      <c r="C33" s="37"/>
      <c r="D33" s="676">
        <v>117047.3</v>
      </c>
      <c r="E33" s="676"/>
      <c r="F33" s="676">
        <v>22389.599999999999</v>
      </c>
      <c r="G33" s="676"/>
      <c r="H33" s="676">
        <v>65838.5</v>
      </c>
      <c r="I33" s="676"/>
      <c r="J33" s="676">
        <v>82592.7</v>
      </c>
      <c r="K33" s="676"/>
      <c r="L33" s="676">
        <v>23500.6</v>
      </c>
      <c r="M33" s="667"/>
      <c r="P33" s="677"/>
    </row>
    <row r="34" spans="2:16" ht="15.75" customHeight="1">
      <c r="B34" s="665">
        <v>2000</v>
      </c>
      <c r="C34" s="37"/>
      <c r="D34" s="676">
        <v>124472.1</v>
      </c>
      <c r="E34" s="676"/>
      <c r="F34" s="676">
        <v>23427.200000000001</v>
      </c>
      <c r="G34" s="676"/>
      <c r="H34" s="676">
        <v>68556.600000000006</v>
      </c>
      <c r="I34" s="676"/>
      <c r="J34" s="676">
        <v>86283.199999999997</v>
      </c>
      <c r="K34" s="676"/>
      <c r="L34" s="676">
        <v>24182.7</v>
      </c>
      <c r="M34" s="667"/>
      <c r="P34" s="677"/>
    </row>
    <row r="35" spans="2:16" ht="15.75" customHeight="1">
      <c r="B35" s="664">
        <v>2001</v>
      </c>
      <c r="C35" s="37"/>
      <c r="D35" s="676">
        <v>134687.4</v>
      </c>
      <c r="E35" s="676"/>
      <c r="F35" s="676">
        <v>24932.639999999999</v>
      </c>
      <c r="G35" s="676"/>
      <c r="H35" s="676">
        <v>74624.33</v>
      </c>
      <c r="I35" s="676"/>
      <c r="J35" s="676">
        <v>93377.15</v>
      </c>
      <c r="K35" s="676"/>
      <c r="L35" s="676">
        <v>26726.86</v>
      </c>
      <c r="M35" s="667"/>
      <c r="P35" s="677"/>
    </row>
    <row r="36" spans="2:16" ht="15.75" customHeight="1">
      <c r="B36" s="665">
        <v>2002</v>
      </c>
      <c r="C36" s="37"/>
      <c r="D36" s="676">
        <v>148642.51999999999</v>
      </c>
      <c r="E36" s="676"/>
      <c r="F36" s="676">
        <v>27177.098999999998</v>
      </c>
      <c r="G36" s="676"/>
      <c r="H36" s="676">
        <v>82730.495999999999</v>
      </c>
      <c r="I36" s="676"/>
      <c r="J36" s="676">
        <v>103654.344</v>
      </c>
      <c r="K36" s="676"/>
      <c r="L36" s="676">
        <v>30143.14</v>
      </c>
      <c r="M36" s="667"/>
      <c r="P36" s="677"/>
    </row>
    <row r="37" spans="2:16" ht="15.75" customHeight="1">
      <c r="B37" s="664">
        <v>2003</v>
      </c>
      <c r="C37" s="37"/>
      <c r="D37" s="676">
        <v>159490.70000000001</v>
      </c>
      <c r="E37" s="676"/>
      <c r="F37" s="676">
        <v>29706.799999999999</v>
      </c>
      <c r="G37" s="676"/>
      <c r="H37" s="676">
        <v>91667.8</v>
      </c>
      <c r="I37" s="676"/>
      <c r="J37" s="676">
        <v>114621.4</v>
      </c>
      <c r="K37" s="676"/>
      <c r="L37" s="676">
        <v>34323.599999999999</v>
      </c>
      <c r="M37" s="667"/>
      <c r="P37" s="677"/>
    </row>
    <row r="38" spans="2:16" ht="15.75" customHeight="1">
      <c r="B38" s="665">
        <v>2004</v>
      </c>
      <c r="D38" s="676">
        <v>167674.54</v>
      </c>
      <c r="F38" s="676">
        <v>31635.915000000001</v>
      </c>
      <c r="H38" s="676">
        <v>101292.679</v>
      </c>
      <c r="J38" s="676">
        <v>127371.151</v>
      </c>
      <c r="L38" s="676">
        <v>38703.4</v>
      </c>
      <c r="M38" s="667"/>
      <c r="P38" s="677"/>
    </row>
    <row r="39" spans="2:16" ht="15.75" customHeight="1">
      <c r="B39" s="664">
        <v>2005</v>
      </c>
      <c r="D39" s="676">
        <v>180730.201</v>
      </c>
      <c r="F39" s="676">
        <v>35154.976000000002</v>
      </c>
      <c r="H39" s="676">
        <v>125473.26</v>
      </c>
      <c r="J39" s="676">
        <v>153488.141</v>
      </c>
      <c r="L39" s="676">
        <v>45537.862000000001</v>
      </c>
      <c r="M39" s="667"/>
      <c r="P39" s="677"/>
    </row>
    <row r="40" spans="2:16" ht="15.75" customHeight="1">
      <c r="B40" s="664">
        <v>2006</v>
      </c>
      <c r="D40" s="676">
        <v>205579.4</v>
      </c>
      <c r="F40" s="676">
        <v>40000.800000000003</v>
      </c>
      <c r="H40" s="676">
        <v>141576.4</v>
      </c>
      <c r="J40" s="676">
        <v>174669.5</v>
      </c>
      <c r="L40" s="676">
        <v>52177.5</v>
      </c>
      <c r="M40" s="667"/>
      <c r="P40" s="677"/>
    </row>
    <row r="41" spans="2:16" ht="15.75" customHeight="1">
      <c r="B41" s="664">
        <v>2007</v>
      </c>
      <c r="D41" s="676">
        <v>217973.3</v>
      </c>
      <c r="F41" s="676">
        <v>43551.6</v>
      </c>
      <c r="H41" s="676">
        <v>158013.6</v>
      </c>
      <c r="J41" s="676">
        <v>198437.3</v>
      </c>
      <c r="L41" s="676">
        <v>56115.8</v>
      </c>
      <c r="M41" s="667"/>
      <c r="P41" s="677"/>
    </row>
    <row r="42" spans="2:16" ht="15.75" customHeight="1">
      <c r="B42" s="678">
        <v>2008</v>
      </c>
      <c r="C42" s="420"/>
      <c r="D42" s="679">
        <v>252826.4</v>
      </c>
      <c r="E42" s="679"/>
      <c r="F42" s="679">
        <v>55006.3</v>
      </c>
      <c r="G42" s="679"/>
      <c r="H42" s="679">
        <v>200697</v>
      </c>
      <c r="I42" s="679"/>
      <c r="J42" s="679">
        <v>221951.5</v>
      </c>
      <c r="K42" s="679"/>
      <c r="L42" s="679">
        <v>65451.199999999997</v>
      </c>
      <c r="M42" s="667"/>
      <c r="P42" s="653"/>
    </row>
    <row r="43" spans="2:16" ht="15.75" customHeight="1">
      <c r="B43" s="680">
        <v>2009</v>
      </c>
      <c r="C43" s="662"/>
      <c r="D43" s="679">
        <v>271745.44671799999</v>
      </c>
      <c r="E43" s="679"/>
      <c r="F43" s="679">
        <v>57892.525232</v>
      </c>
      <c r="G43" s="679"/>
      <c r="H43" s="679">
        <v>198716.30887400001</v>
      </c>
      <c r="I43" s="679"/>
      <c r="J43" s="679">
        <v>219644.79483299999</v>
      </c>
      <c r="K43" s="679"/>
      <c r="L43" s="679">
        <v>63142.230518999997</v>
      </c>
      <c r="M43" s="667"/>
      <c r="P43" s="653"/>
    </row>
    <row r="44" spans="2:16" ht="15.75" customHeight="1">
      <c r="B44" s="680">
        <v>2010</v>
      </c>
      <c r="C44" s="420"/>
      <c r="D44" s="679">
        <v>277267.95594100002</v>
      </c>
      <c r="E44" s="679"/>
      <c r="F44" s="679">
        <v>53928.758028999997</v>
      </c>
      <c r="G44" s="679"/>
      <c r="H44" s="679">
        <v>198525.96046999999</v>
      </c>
      <c r="I44" s="679"/>
      <c r="J44" s="679">
        <v>205378.54597400001</v>
      </c>
      <c r="K44" s="679"/>
      <c r="L44" s="679">
        <v>60556.031063000002</v>
      </c>
      <c r="M44" s="667"/>
      <c r="P44" s="653"/>
    </row>
    <row r="45" spans="2:16" ht="15.75" customHeight="1">
      <c r="B45" s="680">
        <v>2011</v>
      </c>
      <c r="C45" s="420"/>
      <c r="D45" s="679">
        <v>287173.54770699999</v>
      </c>
      <c r="E45" s="679"/>
      <c r="F45" s="679">
        <v>51149.647748000003</v>
      </c>
      <c r="G45" s="679"/>
      <c r="H45" s="679">
        <v>196375.406369</v>
      </c>
      <c r="I45" s="679"/>
      <c r="J45" s="679">
        <v>199702.703694</v>
      </c>
      <c r="K45" s="679"/>
      <c r="L45" s="679">
        <v>59340.313985000001</v>
      </c>
      <c r="M45" s="667"/>
      <c r="P45" s="653"/>
    </row>
    <row r="46" spans="2:16" ht="15.75" customHeight="1">
      <c r="B46" s="680">
        <v>2012</v>
      </c>
      <c r="C46" s="662"/>
      <c r="D46" s="679">
        <v>308568.97100000002</v>
      </c>
      <c r="E46" s="679"/>
      <c r="F46" s="679">
        <v>51170.069000000003</v>
      </c>
      <c r="G46" s="679"/>
      <c r="H46" s="679">
        <v>192463.05</v>
      </c>
      <c r="I46" s="679"/>
      <c r="J46" s="679">
        <f>203069163047/1000000</f>
        <v>203069.16304700001</v>
      </c>
      <c r="K46" s="679"/>
      <c r="L46" s="679">
        <f>59150850241/1000000</f>
        <v>59150.850241</v>
      </c>
      <c r="M46" s="667"/>
      <c r="P46" s="653"/>
    </row>
    <row r="47" spans="2:16" ht="15.75" customHeight="1">
      <c r="B47" s="680">
        <v>2013</v>
      </c>
      <c r="C47" s="662"/>
      <c r="D47" s="679">
        <f>321589165114/1000000</f>
        <v>321589.16511399997</v>
      </c>
      <c r="E47" s="679"/>
      <c r="F47" s="679">
        <f>52282272911/1000000</f>
        <v>52282.272911</v>
      </c>
      <c r="G47" s="679"/>
      <c r="H47" s="679">
        <f>198498123882/1000000</f>
        <v>198498.12388200001</v>
      </c>
      <c r="I47" s="679"/>
      <c r="J47" s="679">
        <f>206464773918/1000000</f>
        <v>206464.77391799999</v>
      </c>
      <c r="K47" s="679"/>
      <c r="L47" s="679">
        <f>59168849166/1000000</f>
        <v>59168.849166</v>
      </c>
      <c r="M47" s="667"/>
      <c r="P47" s="653"/>
    </row>
    <row r="48" spans="2:16" ht="15.75" customHeight="1">
      <c r="B48" s="680">
        <v>2014</v>
      </c>
      <c r="C48" s="420"/>
      <c r="D48" s="679">
        <f>339531330891/1000000</f>
        <v>339531.33089099999</v>
      </c>
      <c r="E48" s="679"/>
      <c r="F48" s="679">
        <f>53648187984/1000000</f>
        <v>53648.187983999997</v>
      </c>
      <c r="G48" s="679"/>
      <c r="H48" s="679">
        <f>200325919058/1000000</f>
        <v>200325.919058</v>
      </c>
      <c r="I48" s="679"/>
      <c r="J48" s="679">
        <f>206782520289/1000000</f>
        <v>206782.52028900001</v>
      </c>
      <c r="K48" s="679"/>
      <c r="L48" s="679">
        <f>57814464829/1000000</f>
        <v>57814.464828999997</v>
      </c>
      <c r="M48" s="667"/>
      <c r="P48" s="653"/>
    </row>
    <row r="49" spans="1:16" ht="15.75" customHeight="1">
      <c r="B49" s="680">
        <v>2015</v>
      </c>
      <c r="C49" s="420"/>
      <c r="D49" s="679">
        <f>[2]Manhattan!$AB$60/1000000</f>
        <v>362524.26647799998</v>
      </c>
      <c r="E49" s="679"/>
      <c r="F49" s="679">
        <f>[2]Bronx!$AB$60/1000000</f>
        <v>54965.119400000003</v>
      </c>
      <c r="G49" s="679"/>
      <c r="H49" s="679">
        <f>[2]Brooklyn!$AB$60/1000000</f>
        <v>213798.66315400001</v>
      </c>
      <c r="I49" s="679"/>
      <c r="J49" s="679">
        <f>[2]Queens!$AB$60/1000000</f>
        <v>216055.66003999999</v>
      </c>
      <c r="K49" s="679"/>
      <c r="L49" s="679">
        <f>'[2]Staten Island'!$AB$60/1000000</f>
        <v>58930.120662000001</v>
      </c>
      <c r="M49" s="667"/>
      <c r="P49" s="653"/>
    </row>
    <row r="50" spans="1:16" ht="15.75" customHeight="1">
      <c r="B50" s="680">
        <v>2016</v>
      </c>
      <c r="C50" s="420"/>
      <c r="D50" s="679">
        <f>[3]Manhattan!$AB$62/1000000</f>
        <v>389709.95101999998</v>
      </c>
      <c r="E50" s="679"/>
      <c r="F50" s="679">
        <f>[3]Bronx!$AB$62/1000000</f>
        <v>58474.39155</v>
      </c>
      <c r="G50" s="679"/>
      <c r="H50" s="679">
        <f>[3]Brooklyn!$AB$62/1000000</f>
        <v>228447.470902</v>
      </c>
      <c r="I50" s="679"/>
      <c r="J50" s="679">
        <f>[3]Queens!$AB$62/1000000</f>
        <v>232108.77600899999</v>
      </c>
      <c r="K50" s="679"/>
      <c r="L50" s="679">
        <f>'[3]Staten Island'!$AB$62/1000000</f>
        <v>60689.803716000002</v>
      </c>
      <c r="M50" s="667"/>
      <c r="P50" s="653"/>
    </row>
    <row r="51" spans="1:16" ht="15.75" customHeight="1">
      <c r="A51" s="681"/>
      <c r="B51" s="682">
        <v>2017</v>
      </c>
      <c r="C51" s="683"/>
      <c r="D51" s="684">
        <f>[4]MANHATTAN!$I$61/1000000</f>
        <v>420552.21455799998</v>
      </c>
      <c r="E51" s="684"/>
      <c r="F51" s="684">
        <f>[4]BRONX!$I$61/1000000</f>
        <v>61656.127841000001</v>
      </c>
      <c r="G51" s="684"/>
      <c r="H51" s="684">
        <f>[4]BROOKLYN!$I$61/1000000</f>
        <v>264149.77901100001</v>
      </c>
      <c r="I51" s="684"/>
      <c r="J51" s="684">
        <f>[4]QUEENS!$I$61/1000000</f>
        <v>254172.895796</v>
      </c>
      <c r="K51" s="684"/>
      <c r="L51" s="684">
        <f>'[4]STATEN ISLAND'!$I$61/1000000</f>
        <v>63713.467267</v>
      </c>
      <c r="M51" s="685"/>
      <c r="N51" s="686"/>
      <c r="P51" s="653"/>
    </row>
    <row r="52" spans="1:16" ht="14.25" customHeight="1">
      <c r="B52" s="687" t="s">
        <v>381</v>
      </c>
      <c r="C52" s="637"/>
      <c r="D52" s="637"/>
      <c r="E52" s="637"/>
      <c r="F52" s="637"/>
      <c r="G52" s="637"/>
      <c r="H52" s="637"/>
      <c r="I52" s="637"/>
      <c r="J52" s="637"/>
      <c r="K52" s="637"/>
      <c r="L52" s="637"/>
      <c r="M52" s="688"/>
      <c r="N52" s="688"/>
      <c r="O52" s="688"/>
      <c r="P52" s="653"/>
    </row>
    <row r="53" spans="1:16" ht="14.25" customHeight="1">
      <c r="B53" s="687" t="s">
        <v>249</v>
      </c>
      <c r="C53" s="689"/>
      <c r="D53" s="689"/>
      <c r="E53" s="689"/>
      <c r="F53" s="689"/>
      <c r="G53" s="689"/>
      <c r="H53" s="689"/>
      <c r="I53" s="689"/>
      <c r="J53" s="689"/>
      <c r="K53" s="689"/>
      <c r="L53" s="689"/>
      <c r="M53" s="689"/>
      <c r="N53" s="689"/>
      <c r="O53" s="690"/>
      <c r="P53" s="653"/>
    </row>
    <row r="54" spans="1:16" ht="14.25" customHeight="1">
      <c r="C54" s="689"/>
      <c r="D54" s="689"/>
      <c r="E54" s="689"/>
      <c r="F54" s="689"/>
      <c r="G54" s="689"/>
      <c r="H54" s="689"/>
      <c r="I54" s="689"/>
      <c r="J54" s="689"/>
      <c r="K54" s="689"/>
      <c r="L54" s="689"/>
      <c r="M54" s="689"/>
      <c r="N54" s="689"/>
      <c r="O54" s="690"/>
      <c r="P54" s="653"/>
    </row>
    <row r="55" spans="1:16" ht="12.75" customHeight="1">
      <c r="B55" s="691"/>
      <c r="C55" s="689"/>
      <c r="D55" s="689"/>
      <c r="E55" s="689"/>
      <c r="F55" s="689"/>
      <c r="G55" s="689"/>
      <c r="H55" s="689"/>
      <c r="I55" s="689"/>
      <c r="J55" s="689"/>
      <c r="K55" s="689"/>
      <c r="L55" s="689"/>
      <c r="M55" s="689"/>
      <c r="N55" s="689"/>
      <c r="O55" s="690"/>
      <c r="P55" s="653"/>
    </row>
    <row r="56" spans="1:16" ht="18" customHeight="1"/>
    <row r="57" spans="1:16" ht="20.100000000000001" customHeight="1"/>
    <row r="59" spans="1:16" ht="9" customHeight="1"/>
    <row r="61" spans="1:16" ht="6.95" customHeight="1"/>
    <row r="63" spans="1:16" ht="6.95" customHeight="1"/>
    <row r="65" spans="2:14" ht="6.95" customHeight="1"/>
    <row r="74" spans="2:14" ht="15.75">
      <c r="B74" s="653"/>
      <c r="C74" s="653"/>
      <c r="D74" s="653"/>
      <c r="E74" s="653"/>
      <c r="F74" s="653"/>
      <c r="G74" s="653"/>
      <c r="H74" s="653"/>
      <c r="I74" s="653"/>
      <c r="J74" s="653"/>
      <c r="K74" s="653"/>
      <c r="L74" s="653"/>
      <c r="M74" s="653"/>
      <c r="N74" s="653"/>
    </row>
  </sheetData>
  <mergeCells count="5">
    <mergeCell ref="B1:M1"/>
    <mergeCell ref="B2:M2"/>
    <mergeCell ref="B3:M3"/>
    <mergeCell ref="C5:M5"/>
    <mergeCell ref="C29:M29"/>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1:M76"/>
  <sheetViews>
    <sheetView showGridLines="0" workbookViewId="0">
      <selection activeCell="I36" sqref="I36"/>
    </sheetView>
  </sheetViews>
  <sheetFormatPr defaultColWidth="12.5703125" defaultRowHeight="15"/>
  <cols>
    <col min="2" max="3" width="15" customWidth="1"/>
    <col min="4" max="4" width="1.85546875" customWidth="1"/>
    <col min="5" max="5" width="11.42578125" customWidth="1"/>
    <col min="6" max="6" width="1.85546875" customWidth="1"/>
    <col min="7" max="7" width="11.5703125" customWidth="1"/>
    <col min="8" max="8" width="2" customWidth="1"/>
    <col min="9" max="9" width="11.5703125" customWidth="1"/>
    <col min="10" max="10" width="2" customWidth="1"/>
    <col min="11" max="11" width="12.42578125" customWidth="1"/>
    <col min="12" max="12" width="2" customWidth="1"/>
    <col min="13" max="13" width="8.140625" customWidth="1"/>
  </cols>
  <sheetData>
    <row r="1" spans="2:13" ht="18">
      <c r="B1" s="1075" t="s">
        <v>382</v>
      </c>
      <c r="C1" s="1075"/>
      <c r="D1" s="1075"/>
      <c r="E1" s="1075"/>
      <c r="F1" s="1075"/>
      <c r="G1" s="1075"/>
      <c r="H1" s="1075"/>
      <c r="I1" s="1075"/>
      <c r="J1" s="1075"/>
      <c r="K1" s="1075"/>
      <c r="L1" s="1075"/>
      <c r="M1" s="692"/>
    </row>
    <row r="2" spans="2:13" ht="17.100000000000001" customHeight="1">
      <c r="B2" s="1069" t="s">
        <v>378</v>
      </c>
      <c r="C2" s="1069"/>
      <c r="D2" s="1069"/>
      <c r="E2" s="1069"/>
      <c r="F2" s="1069"/>
      <c r="G2" s="1069"/>
      <c r="H2" s="1069"/>
      <c r="I2" s="1069"/>
      <c r="J2" s="1069"/>
      <c r="K2" s="1069"/>
      <c r="L2" s="1069"/>
      <c r="M2" s="652"/>
    </row>
    <row r="3" spans="2:13" ht="16.5" customHeight="1">
      <c r="B3" s="1076" t="s">
        <v>383</v>
      </c>
      <c r="C3" s="1076"/>
      <c r="D3" s="1076"/>
      <c r="E3" s="1076"/>
      <c r="F3" s="1076"/>
      <c r="G3" s="1076"/>
      <c r="H3" s="1076"/>
      <c r="I3" s="1076"/>
      <c r="J3" s="1076"/>
      <c r="K3" s="1076"/>
      <c r="L3" s="1076"/>
      <c r="M3" s="693"/>
    </row>
    <row r="4" spans="2:13" ht="16.5" customHeight="1">
      <c r="B4" s="420"/>
      <c r="C4" s="420"/>
      <c r="D4" s="420"/>
      <c r="E4" s="420"/>
      <c r="F4" s="420"/>
      <c r="G4" s="420"/>
      <c r="H4" s="420"/>
      <c r="I4" s="420"/>
      <c r="J4" s="420"/>
      <c r="K4" s="420"/>
      <c r="L4" s="420"/>
      <c r="M4" s="420"/>
    </row>
    <row r="5" spans="2:13" ht="17.25" customHeight="1">
      <c r="B5" s="694"/>
      <c r="C5" s="1077" t="s">
        <v>384</v>
      </c>
      <c r="D5" s="1078"/>
      <c r="E5" s="1078"/>
      <c r="F5" s="1078"/>
      <c r="G5" s="1078"/>
      <c r="H5" s="1078"/>
      <c r="I5" s="1078"/>
      <c r="J5" s="1078"/>
      <c r="K5" s="1078"/>
      <c r="L5" s="1079"/>
      <c r="M5" s="695"/>
    </row>
    <row r="6" spans="2:13" ht="17.25" customHeight="1">
      <c r="B6" s="669" t="s">
        <v>385</v>
      </c>
      <c r="C6" s="659" t="s">
        <v>386</v>
      </c>
      <c r="D6" s="659"/>
      <c r="E6" s="696" t="s">
        <v>47</v>
      </c>
      <c r="F6" s="660"/>
      <c r="G6" s="696" t="s">
        <v>48</v>
      </c>
      <c r="H6" s="660"/>
      <c r="I6" s="696" t="s">
        <v>49</v>
      </c>
      <c r="J6" s="660"/>
      <c r="K6" s="696" t="s">
        <v>50</v>
      </c>
      <c r="L6" s="697"/>
      <c r="M6" s="420"/>
    </row>
    <row r="7" spans="2:13" ht="6.95" customHeight="1">
      <c r="B7" s="698"/>
      <c r="C7" s="37"/>
      <c r="D7" s="420"/>
      <c r="E7" s="37"/>
      <c r="F7" s="37"/>
      <c r="G7" s="37"/>
      <c r="H7" s="37"/>
      <c r="I7" s="37"/>
      <c r="J7" s="37"/>
      <c r="K7" s="37"/>
      <c r="L7" s="424"/>
      <c r="M7" s="420"/>
    </row>
    <row r="8" spans="2:13" ht="15.75" customHeight="1">
      <c r="B8" s="668">
        <v>1998</v>
      </c>
      <c r="C8" s="699">
        <f t="shared" ref="C8:C27" si="0">+K8+I8+G8+E8</f>
        <v>78770.322</v>
      </c>
      <c r="D8" s="700"/>
      <c r="E8" s="699">
        <v>9164.4439999999995</v>
      </c>
      <c r="F8" s="699"/>
      <c r="G8" s="699">
        <v>25350.985000000001</v>
      </c>
      <c r="H8" s="699"/>
      <c r="I8" s="699">
        <v>6548.8689999999997</v>
      </c>
      <c r="J8" s="699"/>
      <c r="K8" s="699">
        <v>37706.023999999998</v>
      </c>
      <c r="L8" s="701"/>
      <c r="M8" s="702"/>
    </row>
    <row r="9" spans="2:13" ht="15.75" customHeight="1">
      <c r="B9" s="668">
        <v>1999</v>
      </c>
      <c r="C9" s="699">
        <f t="shared" si="0"/>
        <v>82154.7</v>
      </c>
      <c r="D9" s="700"/>
      <c r="E9" s="699">
        <v>9234.7999999999993</v>
      </c>
      <c r="F9" s="699"/>
      <c r="G9" s="699">
        <v>26734.9</v>
      </c>
      <c r="H9" s="699"/>
      <c r="I9" s="699">
        <v>6512.5</v>
      </c>
      <c r="J9" s="699"/>
      <c r="K9" s="699">
        <v>39672.5</v>
      </c>
      <c r="L9" s="701"/>
      <c r="M9" s="702"/>
    </row>
    <row r="10" spans="2:13" ht="15.75" customHeight="1">
      <c r="B10" s="668">
        <v>2000</v>
      </c>
      <c r="C10" s="699">
        <f t="shared" si="0"/>
        <v>85868</v>
      </c>
      <c r="D10" s="700"/>
      <c r="E10" s="699">
        <v>9424.7000000000007</v>
      </c>
      <c r="F10" s="699"/>
      <c r="G10" s="699">
        <v>28524.5</v>
      </c>
      <c r="H10" s="699"/>
      <c r="I10" s="699">
        <v>6619.5</v>
      </c>
      <c r="J10" s="699"/>
      <c r="K10" s="699">
        <v>41299.300000000003</v>
      </c>
      <c r="L10" s="701"/>
      <c r="M10" s="702"/>
    </row>
    <row r="11" spans="2:13" ht="15.75" customHeight="1">
      <c r="B11" s="668">
        <v>2001</v>
      </c>
      <c r="C11" s="699">
        <f t="shared" si="0"/>
        <v>90569.680000000008</v>
      </c>
      <c r="D11" s="700"/>
      <c r="E11" s="699">
        <v>9778.8799999999992</v>
      </c>
      <c r="F11" s="699"/>
      <c r="G11" s="699">
        <v>30597.55</v>
      </c>
      <c r="H11" s="699"/>
      <c r="I11" s="699">
        <v>6320.46</v>
      </c>
      <c r="J11" s="699"/>
      <c r="K11" s="699">
        <v>43872.79</v>
      </c>
      <c r="L11" s="701"/>
      <c r="M11" s="702"/>
    </row>
    <row r="12" spans="2:13" ht="15.75" customHeight="1">
      <c r="B12" s="668">
        <v>2002</v>
      </c>
      <c r="C12" s="699">
        <f t="shared" si="0"/>
        <v>97486.400000000009</v>
      </c>
      <c r="D12" s="700"/>
      <c r="E12" s="699">
        <v>10096.6</v>
      </c>
      <c r="F12" s="699"/>
      <c r="G12" s="699">
        <v>33653.800000000003</v>
      </c>
      <c r="H12" s="699"/>
      <c r="I12" s="699">
        <v>6530.8</v>
      </c>
      <c r="J12" s="699"/>
      <c r="K12" s="699">
        <v>47205.2</v>
      </c>
      <c r="L12" s="701"/>
      <c r="M12" s="702"/>
    </row>
    <row r="13" spans="2:13" ht="15.75" customHeight="1">
      <c r="B13" s="668">
        <v>2003</v>
      </c>
      <c r="C13" s="699">
        <f t="shared" si="0"/>
        <v>102704.70000000001</v>
      </c>
      <c r="D13" s="700"/>
      <c r="E13" s="699">
        <v>10611.6</v>
      </c>
      <c r="F13" s="699"/>
      <c r="G13" s="699">
        <v>36552.1</v>
      </c>
      <c r="H13" s="699"/>
      <c r="I13" s="699">
        <v>6836.1</v>
      </c>
      <c r="J13" s="699"/>
      <c r="K13" s="699">
        <v>48704.9</v>
      </c>
      <c r="L13" s="701"/>
      <c r="M13" s="702"/>
    </row>
    <row r="14" spans="2:13" ht="15.75" customHeight="1">
      <c r="B14" s="668">
        <v>2004</v>
      </c>
      <c r="C14" s="703">
        <f t="shared" si="0"/>
        <v>106789.478</v>
      </c>
      <c r="D14" s="700"/>
      <c r="E14" s="703">
        <v>11132.535</v>
      </c>
      <c r="G14" s="703">
        <v>37738.239000000001</v>
      </c>
      <c r="I14" s="703">
        <v>7021.6239999999998</v>
      </c>
      <c r="K14" s="703">
        <v>50897.08</v>
      </c>
      <c r="L14" s="704"/>
      <c r="M14" s="702"/>
    </row>
    <row r="15" spans="2:13" ht="15.75" customHeight="1">
      <c r="B15" s="668">
        <v>2005</v>
      </c>
      <c r="C15" s="703">
        <f t="shared" si="0"/>
        <v>110316.414</v>
      </c>
      <c r="D15" s="700"/>
      <c r="E15" s="703">
        <v>11547.132</v>
      </c>
      <c r="G15" s="703">
        <v>39108.849000000002</v>
      </c>
      <c r="I15" s="703">
        <v>7488.6779999999999</v>
      </c>
      <c r="K15" s="703">
        <v>52171.754999999997</v>
      </c>
      <c r="L15" s="704"/>
      <c r="M15" s="702"/>
    </row>
    <row r="16" spans="2:13" ht="15.75" customHeight="1">
      <c r="B16" s="668">
        <v>2006</v>
      </c>
      <c r="C16" s="703">
        <f t="shared" si="0"/>
        <v>122481.60000000001</v>
      </c>
      <c r="D16" s="700"/>
      <c r="E16" s="703">
        <v>12146.9</v>
      </c>
      <c r="G16" s="703">
        <v>43941.4</v>
      </c>
      <c r="I16" s="703">
        <v>8502</v>
      </c>
      <c r="K16" s="703">
        <v>57891.3</v>
      </c>
      <c r="L16" s="704"/>
      <c r="M16" s="702"/>
    </row>
    <row r="17" spans="2:13" ht="15.75" customHeight="1">
      <c r="B17" s="668">
        <v>2007</v>
      </c>
      <c r="C17" s="703">
        <f t="shared" si="0"/>
        <v>127637</v>
      </c>
      <c r="D17" s="700"/>
      <c r="E17" s="703">
        <v>12712.6</v>
      </c>
      <c r="G17" s="703">
        <v>45048.7</v>
      </c>
      <c r="I17" s="703">
        <v>9078.4</v>
      </c>
      <c r="K17" s="703">
        <v>60797.3</v>
      </c>
      <c r="L17" s="704"/>
      <c r="M17" s="702"/>
    </row>
    <row r="18" spans="2:13" ht="15.75" customHeight="1">
      <c r="B18" s="705">
        <v>2008</v>
      </c>
      <c r="C18" s="706">
        <f t="shared" si="0"/>
        <v>145585.89999999997</v>
      </c>
      <c r="D18" s="707"/>
      <c r="E18" s="706">
        <v>13289.3</v>
      </c>
      <c r="F18" s="708"/>
      <c r="G18" s="706">
        <v>51260.2</v>
      </c>
      <c r="H18" s="708"/>
      <c r="I18" s="706">
        <v>8725.2000000000007</v>
      </c>
      <c r="J18" s="708"/>
      <c r="K18" s="706">
        <v>72311.199999999997</v>
      </c>
      <c r="L18" s="709"/>
      <c r="M18" s="710"/>
    </row>
    <row r="19" spans="2:13" ht="15.75" customHeight="1">
      <c r="B19" s="705">
        <v>2009</v>
      </c>
      <c r="C19" s="706">
        <f t="shared" si="0"/>
        <v>151998.57200799999</v>
      </c>
      <c r="D19" s="707"/>
      <c r="E19" s="706">
        <v>13955.341961</v>
      </c>
      <c r="F19" s="708"/>
      <c r="G19" s="706">
        <v>53457.037708000003</v>
      </c>
      <c r="H19" s="708"/>
      <c r="I19" s="706">
        <v>9589.1129029999993</v>
      </c>
      <c r="J19" s="708"/>
      <c r="K19" s="706">
        <v>74997.079436</v>
      </c>
      <c r="L19" s="709"/>
      <c r="M19" s="710"/>
    </row>
    <row r="20" spans="2:13" ht="15.75" customHeight="1">
      <c r="B20" s="705">
        <v>2010</v>
      </c>
      <c r="C20" s="706">
        <f t="shared" si="0"/>
        <v>157952.589313</v>
      </c>
      <c r="D20" s="707"/>
      <c r="E20" s="706">
        <v>14417.760687</v>
      </c>
      <c r="F20" s="708"/>
      <c r="G20" s="706">
        <v>55054.970414000003</v>
      </c>
      <c r="H20" s="708"/>
      <c r="I20" s="706">
        <v>10450.753096</v>
      </c>
      <c r="J20" s="708"/>
      <c r="K20" s="706">
        <v>78029.105116000006</v>
      </c>
      <c r="L20" s="709"/>
      <c r="M20" s="710"/>
    </row>
    <row r="21" spans="2:13" ht="15.75" customHeight="1">
      <c r="B21" s="705">
        <v>2011</v>
      </c>
      <c r="C21" s="706">
        <f t="shared" si="0"/>
        <v>159695.57763300001</v>
      </c>
      <c r="D21" s="707"/>
      <c r="E21" s="706">
        <v>14952.733843</v>
      </c>
      <c r="F21" s="708"/>
      <c r="G21" s="706">
        <v>55530.783710000003</v>
      </c>
      <c r="H21" s="708"/>
      <c r="I21" s="706">
        <v>11035.982883999999</v>
      </c>
      <c r="J21" s="708"/>
      <c r="K21" s="706">
        <v>78176.077195999998</v>
      </c>
      <c r="L21" s="709"/>
      <c r="M21" s="710"/>
    </row>
    <row r="22" spans="2:13" ht="15.75" customHeight="1">
      <c r="B22" s="705">
        <v>2012</v>
      </c>
      <c r="C22" s="706">
        <f t="shared" si="0"/>
        <v>171355.636011</v>
      </c>
      <c r="D22" s="707"/>
      <c r="E22" s="706">
        <f>15293936701/1000000</f>
        <v>15293.936701000001</v>
      </c>
      <c r="F22" s="708"/>
      <c r="G22" s="706">
        <f>60102907119/1000000</f>
        <v>60102.907119000003</v>
      </c>
      <c r="H22" s="708"/>
      <c r="I22" s="706">
        <f>10875258823/1000000</f>
        <v>10875.258823</v>
      </c>
      <c r="J22" s="708"/>
      <c r="K22" s="706">
        <f>85083533368/1000000</f>
        <v>85083.533368000004</v>
      </c>
      <c r="L22" s="709"/>
      <c r="M22" s="710"/>
    </row>
    <row r="23" spans="2:13" ht="15.75" customHeight="1">
      <c r="B23" s="705">
        <v>2013</v>
      </c>
      <c r="C23" s="706">
        <f t="shared" si="0"/>
        <v>179123.59857899998</v>
      </c>
      <c r="D23" s="707"/>
      <c r="E23" s="706">
        <f>15784675249/1000000</f>
        <v>15784.675249</v>
      </c>
      <c r="F23" s="708"/>
      <c r="G23" s="706">
        <f>62215441187/1000000</f>
        <v>62215.441186999997</v>
      </c>
      <c r="H23" s="708"/>
      <c r="I23" s="706">
        <f>11349039506/1000000</f>
        <v>11349.039505999999</v>
      </c>
      <c r="J23" s="708"/>
      <c r="K23" s="706">
        <f>89774442637/1000000</f>
        <v>89774.442637</v>
      </c>
      <c r="L23" s="709"/>
      <c r="M23" s="710"/>
    </row>
    <row r="24" spans="2:13" ht="15.75" customHeight="1">
      <c r="B24" s="705">
        <v>2014</v>
      </c>
      <c r="C24" s="706">
        <f t="shared" si="0"/>
        <v>190197.17198700001</v>
      </c>
      <c r="D24" s="707"/>
      <c r="E24" s="706">
        <f>16229042429/1000000</f>
        <v>16229.042428999999</v>
      </c>
      <c r="F24" s="708"/>
      <c r="G24" s="706">
        <f>65564696104/1000000</f>
        <v>65564.696104000002</v>
      </c>
      <c r="H24" s="708"/>
      <c r="I24" s="706">
        <f>12244505596/1000000</f>
        <v>12244.505596000001</v>
      </c>
      <c r="J24" s="708"/>
      <c r="K24" s="706">
        <f>96158927858/1000000</f>
        <v>96158.927857999995</v>
      </c>
      <c r="L24" s="709"/>
      <c r="M24" s="710"/>
    </row>
    <row r="25" spans="2:13" ht="15.75" customHeight="1">
      <c r="B25" s="705">
        <v>2015</v>
      </c>
      <c r="C25" s="711">
        <f t="shared" si="0"/>
        <v>202862.40346</v>
      </c>
      <c r="D25" s="707"/>
      <c r="E25" s="706">
        <f>[2]CITYWIDE!$AH$15/1000000</f>
        <v>16915.356102999998</v>
      </c>
      <c r="F25" s="708"/>
      <c r="G25" s="706">
        <f>[2]CITYWIDE!$AH$25/1000000</f>
        <v>70514.485786999998</v>
      </c>
      <c r="H25" s="708"/>
      <c r="I25" s="706">
        <f>[2]CITYWIDE!$AH$29/1000000</f>
        <v>12355.130146</v>
      </c>
      <c r="J25" s="708"/>
      <c r="K25" s="706">
        <f>[2]CITYWIDE!$AH$59/1000000</f>
        <v>103077.43142399999</v>
      </c>
      <c r="L25" s="709"/>
      <c r="M25" s="710"/>
    </row>
    <row r="26" spans="2:13" ht="15.75" customHeight="1">
      <c r="B26" s="712">
        <v>2016</v>
      </c>
      <c r="C26" s="711">
        <f t="shared" si="0"/>
        <v>217642.64152199999</v>
      </c>
      <c r="D26" s="707"/>
      <c r="E26" s="706">
        <f>17727634858/1000000</f>
        <v>17727.634858000001</v>
      </c>
      <c r="F26" s="708"/>
      <c r="G26" s="706">
        <f>77316842720/1000000</f>
        <v>77316.842720000001</v>
      </c>
      <c r="H26" s="708"/>
      <c r="I26" s="706">
        <f>13476553342/1000000</f>
        <v>13476.553341999999</v>
      </c>
      <c r="J26" s="708"/>
      <c r="K26" s="706">
        <f>109121610602/1000000</f>
        <v>109121.610602</v>
      </c>
      <c r="L26" s="709"/>
      <c r="M26" s="710"/>
    </row>
    <row r="27" spans="2:13" ht="15.75" customHeight="1">
      <c r="B27" s="713">
        <v>2017</v>
      </c>
      <c r="C27" s="714">
        <f t="shared" si="0"/>
        <v>234541.70337600002</v>
      </c>
      <c r="D27" s="673"/>
      <c r="E27" s="715">
        <f>[5]CITYWIDE!$AH$15/1000000</f>
        <v>18393.885868000001</v>
      </c>
      <c r="F27" s="716"/>
      <c r="G27" s="715">
        <f>[5]CITYWIDE!$AH$25/1000000</f>
        <v>85118.460531999997</v>
      </c>
      <c r="H27" s="716"/>
      <c r="I27" s="715">
        <f>[5]CITYWIDE!$AH$29/1000000</f>
        <v>14203.259742</v>
      </c>
      <c r="J27" s="716"/>
      <c r="K27" s="715">
        <f>[5]CITYWIDE!$AH$61/1000000</f>
        <v>116826.097234</v>
      </c>
      <c r="L27" s="717"/>
      <c r="M27" s="710"/>
    </row>
    <row r="28" spans="2:13" ht="15.75" customHeight="1">
      <c r="B28" s="718"/>
      <c r="C28" s="718"/>
      <c r="D28" s="718"/>
      <c r="E28" s="663"/>
      <c r="F28" s="719"/>
      <c r="G28" s="663"/>
      <c r="H28" s="719"/>
      <c r="I28" s="663"/>
      <c r="J28" s="719"/>
      <c r="K28" s="663"/>
      <c r="L28" s="719"/>
      <c r="M28" s="710"/>
    </row>
    <row r="29" spans="2:13" ht="6" hidden="1" customHeight="1">
      <c r="B29" s="420"/>
      <c r="C29" s="420"/>
      <c r="D29" s="420"/>
      <c r="E29" s="420"/>
      <c r="F29" s="420"/>
      <c r="G29" s="420"/>
      <c r="H29" s="420"/>
      <c r="I29" s="420"/>
      <c r="J29" s="420"/>
      <c r="K29" s="420"/>
      <c r="L29" s="420"/>
      <c r="M29" s="420"/>
    </row>
    <row r="30" spans="2:13" ht="18" customHeight="1">
      <c r="B30" s="720"/>
      <c r="C30" s="1077" t="s">
        <v>387</v>
      </c>
      <c r="D30" s="1078"/>
      <c r="E30" s="1078"/>
      <c r="F30" s="1078"/>
      <c r="G30" s="1078"/>
      <c r="H30" s="1078"/>
      <c r="I30" s="1078"/>
      <c r="J30" s="1078"/>
      <c r="K30" s="1078"/>
      <c r="L30" s="1080"/>
      <c r="M30" s="721"/>
    </row>
    <row r="31" spans="2:13" ht="15" customHeight="1">
      <c r="B31" s="669" t="s">
        <v>385</v>
      </c>
      <c r="C31" s="659" t="s">
        <v>386</v>
      </c>
      <c r="D31" s="659"/>
      <c r="E31" s="696" t="s">
        <v>47</v>
      </c>
      <c r="F31" s="660"/>
      <c r="G31" s="696" t="s">
        <v>48</v>
      </c>
      <c r="H31" s="660"/>
      <c r="I31" s="696" t="s">
        <v>49</v>
      </c>
      <c r="J31" s="660"/>
      <c r="K31" s="696" t="s">
        <v>50</v>
      </c>
      <c r="L31" s="697"/>
      <c r="M31" s="656"/>
    </row>
    <row r="32" spans="2:13" ht="7.5" customHeight="1">
      <c r="B32" s="698"/>
      <c r="C32" s="37"/>
      <c r="D32" s="420"/>
      <c r="E32" s="37"/>
      <c r="F32" s="37"/>
      <c r="G32" s="37"/>
      <c r="H32" s="37"/>
      <c r="I32" s="37"/>
      <c r="J32" s="37"/>
      <c r="K32" s="37"/>
      <c r="L32" s="424"/>
      <c r="M32" s="420"/>
    </row>
    <row r="33" spans="2:13" ht="15.75" customHeight="1">
      <c r="B33" s="668">
        <v>1998</v>
      </c>
      <c r="C33" s="699">
        <f t="shared" ref="C33:C52" si="1">+E33+G33+I33+K33</f>
        <v>76020.741999999998</v>
      </c>
      <c r="D33" s="700"/>
      <c r="E33" s="699">
        <v>9164.4439999999995</v>
      </c>
      <c r="F33" s="699"/>
      <c r="G33" s="699">
        <v>24228.839</v>
      </c>
      <c r="H33" s="699"/>
      <c r="I33" s="699">
        <v>6548.8689999999997</v>
      </c>
      <c r="J33" s="699"/>
      <c r="K33" s="699">
        <v>36078.589999999997</v>
      </c>
      <c r="L33" s="701"/>
      <c r="M33" s="702"/>
    </row>
    <row r="34" spans="2:13" ht="15.75" customHeight="1">
      <c r="B34" s="668">
        <v>1999</v>
      </c>
      <c r="C34" s="699">
        <f t="shared" si="1"/>
        <v>77698.7</v>
      </c>
      <c r="D34" s="700"/>
      <c r="E34" s="699">
        <v>9234.7999999999993</v>
      </c>
      <c r="F34" s="699"/>
      <c r="G34" s="699">
        <v>24965.200000000001</v>
      </c>
      <c r="H34" s="699"/>
      <c r="I34" s="699">
        <v>6512.5</v>
      </c>
      <c r="J34" s="699"/>
      <c r="K34" s="699">
        <v>36986.199999999997</v>
      </c>
      <c r="L34" s="701"/>
      <c r="M34" s="702"/>
    </row>
    <row r="35" spans="2:13" ht="15.75" customHeight="1">
      <c r="B35" s="668">
        <v>2000</v>
      </c>
      <c r="C35" s="699">
        <f t="shared" si="1"/>
        <v>80089.400000000009</v>
      </c>
      <c r="D35" s="700"/>
      <c r="E35" s="699">
        <v>9424.7000000000007</v>
      </c>
      <c r="F35" s="699"/>
      <c r="G35" s="699">
        <v>26126.400000000001</v>
      </c>
      <c r="H35" s="699"/>
      <c r="I35" s="699">
        <v>6619.5</v>
      </c>
      <c r="J35" s="699"/>
      <c r="K35" s="699">
        <v>37918.800000000003</v>
      </c>
      <c r="L35" s="701"/>
      <c r="M35" s="702"/>
    </row>
    <row r="36" spans="2:13" ht="15.75" customHeight="1">
      <c r="B36" s="668">
        <v>2001</v>
      </c>
      <c r="C36" s="699">
        <f t="shared" si="1"/>
        <v>83258.01999999999</v>
      </c>
      <c r="D36" s="700"/>
      <c r="E36" s="699">
        <v>9778.8799999999992</v>
      </c>
      <c r="F36" s="699"/>
      <c r="G36" s="699">
        <v>27501.72</v>
      </c>
      <c r="H36" s="699"/>
      <c r="I36" s="699">
        <v>6320.46</v>
      </c>
      <c r="J36" s="699"/>
      <c r="K36" s="699">
        <v>39656.959999999999</v>
      </c>
      <c r="L36" s="701"/>
      <c r="M36" s="702"/>
    </row>
    <row r="37" spans="2:13" ht="15.75" customHeight="1">
      <c r="B37" s="668">
        <v>2002</v>
      </c>
      <c r="C37" s="699">
        <f t="shared" si="1"/>
        <v>88289.600000000006</v>
      </c>
      <c r="D37" s="700"/>
      <c r="E37" s="699">
        <v>10096.6</v>
      </c>
      <c r="F37" s="699"/>
      <c r="G37" s="699">
        <v>29674.9</v>
      </c>
      <c r="H37" s="699"/>
      <c r="I37" s="699">
        <v>6530.8</v>
      </c>
      <c r="J37" s="699"/>
      <c r="K37" s="699">
        <v>41987.3</v>
      </c>
      <c r="L37" s="701"/>
      <c r="M37" s="702"/>
    </row>
    <row r="38" spans="2:13" ht="15.75" customHeight="1">
      <c r="B38" s="668">
        <v>2003</v>
      </c>
      <c r="C38" s="699">
        <f t="shared" si="1"/>
        <v>93287.394</v>
      </c>
      <c r="D38" s="700"/>
      <c r="E38" s="699">
        <v>10611.647000000001</v>
      </c>
      <c r="F38" s="699"/>
      <c r="G38" s="699">
        <v>31993.734</v>
      </c>
      <c r="H38" s="699"/>
      <c r="I38" s="699">
        <v>6836.1279999999997</v>
      </c>
      <c r="J38" s="699"/>
      <c r="K38" s="699">
        <v>43845.885000000002</v>
      </c>
      <c r="L38" s="701"/>
      <c r="M38" s="702"/>
    </row>
    <row r="39" spans="2:13" ht="15.75" customHeight="1">
      <c r="B39" s="668">
        <v>2004</v>
      </c>
      <c r="C39" s="699">
        <f t="shared" si="1"/>
        <v>98634.521999999997</v>
      </c>
      <c r="D39" s="700"/>
      <c r="E39" s="703">
        <v>11132.535</v>
      </c>
      <c r="G39" s="703">
        <v>34151.947</v>
      </c>
      <c r="I39" s="703">
        <v>7021.6239999999998</v>
      </c>
      <c r="K39" s="703">
        <v>46328.415999999997</v>
      </c>
      <c r="L39" s="704"/>
      <c r="M39" s="719"/>
    </row>
    <row r="40" spans="2:13" ht="15.75" customHeight="1">
      <c r="B40" s="668">
        <v>2005</v>
      </c>
      <c r="C40" s="699">
        <f t="shared" si="1"/>
        <v>102367.333</v>
      </c>
      <c r="D40" s="700"/>
      <c r="E40" s="703">
        <v>11547.132</v>
      </c>
      <c r="G40" s="703">
        <v>35950.834999999999</v>
      </c>
      <c r="I40" s="703">
        <v>7488.6779999999999</v>
      </c>
      <c r="K40" s="703">
        <v>47380.688000000002</v>
      </c>
      <c r="L40" s="704"/>
      <c r="M40" s="719"/>
    </row>
    <row r="41" spans="2:13" ht="15.75" customHeight="1">
      <c r="B41" s="668">
        <v>2006</v>
      </c>
      <c r="C41" s="699">
        <f t="shared" si="1"/>
        <v>110014.1</v>
      </c>
      <c r="D41" s="700"/>
      <c r="E41" s="703">
        <v>12146.9</v>
      </c>
      <c r="G41" s="703">
        <v>38630.6</v>
      </c>
      <c r="I41" s="703">
        <v>8502</v>
      </c>
      <c r="K41" s="703">
        <v>50734.6</v>
      </c>
      <c r="L41" s="704"/>
      <c r="M41" s="719"/>
    </row>
    <row r="42" spans="2:13" ht="15.75" customHeight="1">
      <c r="B42" s="668">
        <v>2007</v>
      </c>
      <c r="C42" s="699">
        <f t="shared" si="1"/>
        <v>115119.3</v>
      </c>
      <c r="D42" s="700"/>
      <c r="E42" s="703">
        <v>12712.6</v>
      </c>
      <c r="G42" s="703">
        <v>40528.300000000003</v>
      </c>
      <c r="I42" s="703">
        <v>9078.4</v>
      </c>
      <c r="K42" s="703">
        <v>52800</v>
      </c>
      <c r="L42" s="704"/>
      <c r="M42" s="719"/>
    </row>
    <row r="43" spans="2:13" ht="15.75" customHeight="1">
      <c r="B43" s="668">
        <v>2008</v>
      </c>
      <c r="C43" s="699">
        <f t="shared" si="1"/>
        <v>124461.4</v>
      </c>
      <c r="D43" s="700"/>
      <c r="E43" s="703">
        <v>13289.3</v>
      </c>
      <c r="G43" s="703">
        <v>43751.6</v>
      </c>
      <c r="I43" s="703">
        <v>8725.2000000000007</v>
      </c>
      <c r="K43" s="703">
        <v>58695.3</v>
      </c>
      <c r="L43" s="704"/>
      <c r="M43" s="719"/>
    </row>
    <row r="44" spans="2:13" ht="15.75" customHeight="1">
      <c r="B44" s="668">
        <v>2009</v>
      </c>
      <c r="C44" s="699">
        <f t="shared" si="1"/>
        <v>132996.73741599999</v>
      </c>
      <c r="D44" s="700"/>
      <c r="E44" s="699">
        <v>13955.341961</v>
      </c>
      <c r="F44" s="699"/>
      <c r="G44" s="699">
        <v>46544.140327000001</v>
      </c>
      <c r="H44" s="699"/>
      <c r="I44" s="699">
        <v>9589.1129029999993</v>
      </c>
      <c r="J44" s="699"/>
      <c r="K44" s="699">
        <v>62908.142225000003</v>
      </c>
      <c r="L44" s="701"/>
      <c r="M44" s="719"/>
    </row>
    <row r="45" spans="2:13" ht="15.75" customHeight="1">
      <c r="B45" s="668">
        <v>2010</v>
      </c>
      <c r="C45" s="699">
        <f t="shared" si="1"/>
        <v>141848.52619500001</v>
      </c>
      <c r="D45" s="700"/>
      <c r="E45" s="699">
        <v>14417.760687</v>
      </c>
      <c r="F45" s="699"/>
      <c r="G45" s="699">
        <v>49267.763339999998</v>
      </c>
      <c r="H45" s="699"/>
      <c r="I45" s="699">
        <v>10450.753096</v>
      </c>
      <c r="J45" s="699"/>
      <c r="K45" s="699">
        <v>67712.249072000006</v>
      </c>
      <c r="L45" s="701"/>
      <c r="M45" s="719"/>
    </row>
    <row r="46" spans="2:13" ht="15.75" customHeight="1">
      <c r="B46" s="668">
        <v>2011</v>
      </c>
      <c r="C46" s="699">
        <f t="shared" si="1"/>
        <v>147629.21258200001</v>
      </c>
      <c r="D46" s="700"/>
      <c r="E46" s="699">
        <v>14952.733843</v>
      </c>
      <c r="F46" s="699"/>
      <c r="G46" s="699">
        <v>50771.297553999997</v>
      </c>
      <c r="H46" s="699"/>
      <c r="I46" s="699">
        <v>11035.982883999999</v>
      </c>
      <c r="J46" s="699"/>
      <c r="K46" s="699">
        <v>70869.198300999997</v>
      </c>
      <c r="L46" s="701"/>
      <c r="M46" s="719"/>
    </row>
    <row r="47" spans="2:13" ht="15.75" customHeight="1">
      <c r="B47" s="668">
        <v>2012</v>
      </c>
      <c r="C47" s="699">
        <f t="shared" si="1"/>
        <v>155416.417663</v>
      </c>
      <c r="D47" s="700"/>
      <c r="E47" s="706">
        <f>15293936701/1000000</f>
        <v>15293.936701000001</v>
      </c>
      <c r="F47" s="708"/>
      <c r="G47" s="706">
        <f>53696991628/1000000</f>
        <v>53696.991628000003</v>
      </c>
      <c r="H47" s="708"/>
      <c r="I47" s="706">
        <f>10875258823/1000000</f>
        <v>10875.258823</v>
      </c>
      <c r="J47" s="708"/>
      <c r="K47" s="706">
        <f>75550230511/1000000</f>
        <v>75550.230511000002</v>
      </c>
      <c r="L47" s="701"/>
      <c r="M47" s="719"/>
    </row>
    <row r="48" spans="2:13" ht="15.75" customHeight="1">
      <c r="B48" s="668">
        <v>2013</v>
      </c>
      <c r="C48" s="699">
        <f t="shared" si="1"/>
        <v>162345.481397</v>
      </c>
      <c r="D48" s="700"/>
      <c r="E48" s="706">
        <f>15784675249/1000000</f>
        <v>15784.675249</v>
      </c>
      <c r="F48" s="708"/>
      <c r="G48" s="706">
        <f>55880919162/1000000</f>
        <v>55880.919161999998</v>
      </c>
      <c r="H48" s="708"/>
      <c r="I48" s="706">
        <f>11349039506/1000000</f>
        <v>11349.039505999999</v>
      </c>
      <c r="J48" s="708"/>
      <c r="K48" s="706">
        <f>79330847480/1000000</f>
        <v>79330.847479999997</v>
      </c>
      <c r="L48" s="701"/>
      <c r="M48" s="719"/>
    </row>
    <row r="49" spans="2:13" ht="15.75" customHeight="1">
      <c r="B49" s="668">
        <v>2014</v>
      </c>
      <c r="C49" s="699">
        <f t="shared" si="1"/>
        <v>171747.58684999999</v>
      </c>
      <c r="D49" s="700"/>
      <c r="E49" s="706">
        <f>16229042429/1000000</f>
        <v>16229.042428999999</v>
      </c>
      <c r="F49" s="708"/>
      <c r="G49" s="706">
        <f>58921473184/1000000</f>
        <v>58921.473184000002</v>
      </c>
      <c r="H49" s="708"/>
      <c r="I49" s="706">
        <f>12244505596/1000000</f>
        <v>12244.505596000001</v>
      </c>
      <c r="J49" s="708"/>
      <c r="K49" s="706">
        <f>84352565641/1000000</f>
        <v>84352.565640999994</v>
      </c>
      <c r="L49" s="701"/>
      <c r="M49" s="719"/>
    </row>
    <row r="50" spans="2:13" ht="15.75" customHeight="1">
      <c r="B50" s="668">
        <v>2015</v>
      </c>
      <c r="C50" s="722">
        <f t="shared" si="1"/>
        <v>182514.70945299999</v>
      </c>
      <c r="D50" s="700"/>
      <c r="E50" s="706">
        <f>[2]CITYWIDE!$AN$15/1000000</f>
        <v>16915.356102999998</v>
      </c>
      <c r="F50" s="708"/>
      <c r="G50" s="706">
        <f>[2]CITYWIDE!$AN$25/1000000</f>
        <v>63037.319760999999</v>
      </c>
      <c r="H50" s="708"/>
      <c r="I50" s="706">
        <f>[2]CITYWIDE!$AN$29/1000000</f>
        <v>12355.130146</v>
      </c>
      <c r="J50" s="708"/>
      <c r="K50" s="706">
        <f>[2]CITYWIDE!$AN$59/1000000</f>
        <v>90206.903443000003</v>
      </c>
      <c r="L50" s="701"/>
      <c r="M50" s="719"/>
    </row>
    <row r="51" spans="2:13" ht="15.75" customHeight="1">
      <c r="B51" s="668">
        <v>2016</v>
      </c>
      <c r="C51" s="722">
        <f t="shared" si="1"/>
        <v>195185.396526</v>
      </c>
      <c r="D51" s="700"/>
      <c r="E51" s="706">
        <f>17727634858/1000000</f>
        <v>17727.634858000001</v>
      </c>
      <c r="F51" s="708"/>
      <c r="G51" s="706">
        <f>67943172752/1000000</f>
        <v>67943.172751999999</v>
      </c>
      <c r="H51" s="708"/>
      <c r="I51" s="706">
        <f>13476553342/1000000</f>
        <v>13476.553341999999</v>
      </c>
      <c r="J51" s="708"/>
      <c r="K51" s="706">
        <f>96038035574/1000000</f>
        <v>96038.035573999994</v>
      </c>
      <c r="L51" s="701"/>
      <c r="M51" s="719"/>
    </row>
    <row r="52" spans="2:13" ht="15.75" customHeight="1">
      <c r="B52" s="657">
        <v>2017</v>
      </c>
      <c r="C52" s="723">
        <f t="shared" si="1"/>
        <v>208611.093009</v>
      </c>
      <c r="D52" s="659"/>
      <c r="E52" s="715">
        <f>[5]CITYWIDE!$AN$15/1000000</f>
        <v>18393.885868000001</v>
      </c>
      <c r="F52" s="716"/>
      <c r="G52" s="715">
        <f>[5]CITYWIDE!$AN$25/1000000</f>
        <v>73978.854431999993</v>
      </c>
      <c r="H52" s="716"/>
      <c r="I52" s="715">
        <f>[5]CITYWIDE!$AN$29/1000000</f>
        <v>14203.259742</v>
      </c>
      <c r="J52" s="716"/>
      <c r="K52" s="715">
        <f>[5]CITYWIDE!$AN$61/1000000</f>
        <v>102035.092967</v>
      </c>
      <c r="L52" s="724"/>
      <c r="M52" s="719"/>
    </row>
    <row r="53" spans="2:13" ht="15" customHeight="1">
      <c r="B53" s="725" t="s">
        <v>388</v>
      </c>
      <c r="C53" s="726"/>
      <c r="D53" s="726"/>
      <c r="E53" s="663"/>
      <c r="F53" s="663"/>
      <c r="G53" s="663"/>
      <c r="H53" s="663"/>
      <c r="I53" s="663"/>
      <c r="J53" s="663"/>
      <c r="K53" s="663"/>
      <c r="L53" s="663"/>
      <c r="M53" s="420"/>
    </row>
    <row r="54" spans="2:13" ht="15.75">
      <c r="C54" s="725"/>
      <c r="D54" s="725"/>
      <c r="E54" s="12"/>
      <c r="F54" s="12"/>
      <c r="G54" s="12"/>
      <c r="H54" s="12"/>
      <c r="I54" s="12"/>
      <c r="J54" s="12"/>
      <c r="K54" s="12"/>
      <c r="L54" s="37"/>
      <c r="M54" s="37"/>
    </row>
    <row r="55" spans="2:13" ht="5.25" customHeight="1"/>
    <row r="57" spans="2:13" ht="18" customHeight="1"/>
    <row r="58" spans="2:13" ht="20.100000000000001" customHeight="1"/>
    <row r="60" spans="2:13" ht="9" customHeight="1"/>
    <row r="62" spans="2:13" ht="6.95" customHeight="1"/>
    <row r="64" spans="2:13" ht="6.95" customHeight="1"/>
    <row r="66" spans="2:12" ht="6.95" customHeight="1"/>
    <row r="68" spans="2:12" ht="6.95" customHeight="1"/>
    <row r="70" spans="2:12" ht="6.95" customHeight="1"/>
    <row r="72" spans="2:12" ht="6.95" customHeight="1"/>
    <row r="74" spans="2:12" ht="6.95" customHeight="1"/>
    <row r="76" spans="2:12" ht="15.75">
      <c r="B76" s="653"/>
      <c r="C76" s="653"/>
      <c r="D76" s="653"/>
      <c r="E76" s="653"/>
      <c r="F76" s="653"/>
      <c r="G76" s="653"/>
      <c r="H76" s="653"/>
      <c r="I76" s="653"/>
      <c r="J76" s="653"/>
      <c r="K76" s="653"/>
      <c r="L76" s="653"/>
    </row>
  </sheetData>
  <mergeCells count="5">
    <mergeCell ref="B1:L1"/>
    <mergeCell ref="B2:L2"/>
    <mergeCell ref="B3:L3"/>
    <mergeCell ref="C5:L5"/>
    <mergeCell ref="C30:L30"/>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B1:AF179"/>
  <sheetViews>
    <sheetView showGridLines="0" workbookViewId="0">
      <selection activeCell="H11" sqref="H11"/>
    </sheetView>
  </sheetViews>
  <sheetFormatPr defaultColWidth="12.5703125" defaultRowHeight="15"/>
  <cols>
    <col min="2" max="2" width="9.42578125" customWidth="1"/>
    <col min="3" max="3" width="2.140625" customWidth="1"/>
    <col min="4" max="4" width="14.42578125" customWidth="1"/>
    <col min="5" max="5" width="2.140625" customWidth="1"/>
    <col min="6" max="6" width="14.42578125" customWidth="1"/>
    <col min="7" max="7" width="2.140625" customWidth="1"/>
    <col min="8" max="8" width="14.42578125" customWidth="1"/>
    <col min="9" max="9" width="2.140625" customWidth="1"/>
    <col min="10" max="10" width="14.42578125" customWidth="1"/>
    <col min="11" max="11" width="2.140625" customWidth="1"/>
    <col min="12" max="12" width="14.42578125" customWidth="1"/>
    <col min="13" max="13" width="2.140625" customWidth="1"/>
    <col min="14" max="14" width="14.42578125" customWidth="1"/>
    <col min="15" max="15" width="2.140625" customWidth="1"/>
    <col min="17" max="19" width="18.5703125" bestFit="1" customWidth="1"/>
    <col min="21" max="21" width="6.140625" customWidth="1"/>
    <col min="23" max="23" width="6.140625" customWidth="1"/>
    <col min="25" max="25" width="6.140625" customWidth="1"/>
    <col min="27" max="27" width="6.140625" customWidth="1"/>
    <col min="29" max="31" width="3.5703125" customWidth="1"/>
  </cols>
  <sheetData>
    <row r="1" spans="2:32" ht="19.5">
      <c r="B1" s="1075" t="s">
        <v>390</v>
      </c>
      <c r="C1" s="1075"/>
      <c r="D1" s="1075"/>
      <c r="E1" s="1075"/>
      <c r="F1" s="1075"/>
      <c r="G1" s="1075"/>
      <c r="H1" s="1075"/>
      <c r="I1" s="1075"/>
      <c r="J1" s="1075"/>
      <c r="K1" s="1075"/>
      <c r="L1" s="1075"/>
      <c r="M1" s="1075"/>
      <c r="N1" s="1075"/>
      <c r="O1" s="1075"/>
      <c r="P1" s="727"/>
      <c r="Q1" s="728"/>
    </row>
    <row r="2" spans="2:32" ht="16.5" customHeight="1">
      <c r="B2" s="1069" t="s">
        <v>378</v>
      </c>
      <c r="C2" s="1069"/>
      <c r="D2" s="1069"/>
      <c r="E2" s="1069"/>
      <c r="F2" s="1069"/>
      <c r="G2" s="1069"/>
      <c r="H2" s="1069"/>
      <c r="I2" s="1069"/>
      <c r="J2" s="1069"/>
      <c r="K2" s="1069"/>
      <c r="L2" s="1069"/>
      <c r="M2" s="1069"/>
      <c r="N2" s="1069"/>
      <c r="O2" s="729"/>
      <c r="P2" s="727"/>
      <c r="Q2" s="728"/>
    </row>
    <row r="3" spans="2:32" ht="16.5" customHeight="1">
      <c r="B3" s="759" t="s">
        <v>272</v>
      </c>
      <c r="C3" s="729"/>
      <c r="D3" s="730"/>
      <c r="E3" s="730"/>
      <c r="F3" s="693"/>
      <c r="G3" s="730"/>
      <c r="H3" s="693"/>
      <c r="I3" s="730"/>
      <c r="J3" s="730"/>
      <c r="K3" s="730"/>
      <c r="L3" s="730"/>
      <c r="M3" s="730"/>
      <c r="N3" s="729"/>
      <c r="O3" s="729"/>
      <c r="P3" s="727"/>
      <c r="Q3" s="728"/>
    </row>
    <row r="4" spans="2:32" ht="12" customHeight="1">
      <c r="B4" s="656"/>
      <c r="C4" s="656"/>
      <c r="D4" s="656"/>
      <c r="E4" s="656"/>
      <c r="F4" s="656"/>
      <c r="G4" s="656"/>
      <c r="H4" s="656"/>
      <c r="I4" s="656"/>
      <c r="J4" s="656"/>
      <c r="K4" s="656"/>
      <c r="L4" s="656"/>
      <c r="M4" s="656"/>
      <c r="N4" s="656"/>
      <c r="O4" s="656"/>
      <c r="P4" s="731"/>
      <c r="Q4" s="731"/>
    </row>
    <row r="5" spans="2:32" ht="18" customHeight="1">
      <c r="B5" s="732" t="s">
        <v>379</v>
      </c>
      <c r="C5" s="1071" t="s">
        <v>380</v>
      </c>
      <c r="D5" s="1072"/>
      <c r="E5" s="1072"/>
      <c r="F5" s="1072"/>
      <c r="G5" s="1072"/>
      <c r="H5" s="1072"/>
      <c r="I5" s="1072"/>
      <c r="J5" s="1072"/>
      <c r="K5" s="1072"/>
      <c r="L5" s="1072"/>
      <c r="M5" s="1072"/>
      <c r="N5" s="1072"/>
      <c r="O5" s="1074"/>
      <c r="P5" s="733"/>
      <c r="Q5" s="731"/>
    </row>
    <row r="6" spans="2:32" ht="15" customHeight="1">
      <c r="B6" s="734" t="s">
        <v>311</v>
      </c>
      <c r="C6" s="658"/>
      <c r="D6" s="659" t="s">
        <v>33</v>
      </c>
      <c r="E6" s="660"/>
      <c r="F6" s="659" t="s">
        <v>42</v>
      </c>
      <c r="G6" s="660"/>
      <c r="H6" s="659" t="s">
        <v>43</v>
      </c>
      <c r="I6" s="660"/>
      <c r="J6" s="659" t="s">
        <v>44</v>
      </c>
      <c r="K6" s="660"/>
      <c r="L6" s="659" t="s">
        <v>45</v>
      </c>
      <c r="M6" s="660"/>
      <c r="N6" s="659" t="s">
        <v>46</v>
      </c>
      <c r="O6" s="674"/>
      <c r="P6" s="733"/>
      <c r="Q6" s="731"/>
    </row>
    <row r="7" spans="2:32" ht="12.95" customHeight="1">
      <c r="B7" s="662"/>
      <c r="C7" s="662"/>
      <c r="D7" s="37"/>
      <c r="E7" s="37"/>
      <c r="F7" s="37"/>
      <c r="G7" s="37"/>
      <c r="H7" s="37"/>
      <c r="I7" s="37"/>
      <c r="J7" s="37"/>
      <c r="K7" s="37"/>
      <c r="L7" s="37"/>
      <c r="M7" s="37"/>
      <c r="N7" s="37"/>
      <c r="O7" s="667"/>
    </row>
    <row r="8" spans="2:32" ht="20.100000000000001" customHeight="1">
      <c r="B8" s="668">
        <v>1998</v>
      </c>
      <c r="C8" s="37"/>
      <c r="D8" s="737">
        <f t="shared" ref="D8:D12" si="0">SUM(F8:N8)</f>
        <v>76020.739999999991</v>
      </c>
      <c r="E8" s="737"/>
      <c r="F8" s="737">
        <v>44061.82</v>
      </c>
      <c r="G8" s="737"/>
      <c r="H8" s="737">
        <v>4821.63</v>
      </c>
      <c r="I8" s="737"/>
      <c r="J8" s="737">
        <v>10893</v>
      </c>
      <c r="K8" s="737"/>
      <c r="L8" s="737">
        <v>13473.526</v>
      </c>
      <c r="M8" s="737"/>
      <c r="N8" s="737">
        <v>2770.7640000000001</v>
      </c>
      <c r="O8" s="667"/>
      <c r="P8" s="738"/>
      <c r="AF8" s="736"/>
    </row>
    <row r="9" spans="2:32" ht="20.100000000000001" customHeight="1">
      <c r="B9" s="668">
        <v>1999</v>
      </c>
      <c r="C9" s="37"/>
      <c r="D9" s="737">
        <f t="shared" si="0"/>
        <v>77698.7</v>
      </c>
      <c r="E9" s="737"/>
      <c r="F9" s="737">
        <v>45405</v>
      </c>
      <c r="G9" s="737"/>
      <c r="H9" s="737">
        <v>4860.8999999999996</v>
      </c>
      <c r="I9" s="737"/>
      <c r="J9" s="737">
        <v>10957.9</v>
      </c>
      <c r="K9" s="737"/>
      <c r="L9" s="737">
        <v>13656.7</v>
      </c>
      <c r="M9" s="737"/>
      <c r="N9" s="737">
        <v>2818.2</v>
      </c>
      <c r="O9" s="667"/>
      <c r="P9" s="738"/>
      <c r="AF9" s="736"/>
    </row>
    <row r="10" spans="2:32" ht="20.100000000000001" customHeight="1">
      <c r="B10" s="668">
        <v>2000</v>
      </c>
      <c r="C10" s="37"/>
      <c r="D10" s="737">
        <f t="shared" si="0"/>
        <v>80089.400000000009</v>
      </c>
      <c r="E10" s="737"/>
      <c r="F10" s="737">
        <v>47029.9</v>
      </c>
      <c r="G10" s="737"/>
      <c r="H10" s="737">
        <v>5008.5</v>
      </c>
      <c r="I10" s="737"/>
      <c r="J10" s="737">
        <v>11168.2</v>
      </c>
      <c r="K10" s="737"/>
      <c r="L10" s="737">
        <v>14037.3</v>
      </c>
      <c r="M10" s="737"/>
      <c r="N10" s="737">
        <v>2845.5</v>
      </c>
      <c r="O10" s="667"/>
      <c r="P10" s="738"/>
      <c r="AF10" s="736"/>
    </row>
    <row r="11" spans="2:32" ht="20.100000000000001" customHeight="1">
      <c r="B11" s="668">
        <v>2001</v>
      </c>
      <c r="C11" s="37"/>
      <c r="D11" s="737">
        <f t="shared" si="0"/>
        <v>83258.009999999995</v>
      </c>
      <c r="E11" s="737"/>
      <c r="F11" s="737">
        <v>49285.07</v>
      </c>
      <c r="G11" s="737"/>
      <c r="H11" s="737">
        <v>5123.17</v>
      </c>
      <c r="I11" s="737"/>
      <c r="J11" s="737">
        <v>11483.43</v>
      </c>
      <c r="K11" s="737"/>
      <c r="L11" s="737">
        <v>14439.7</v>
      </c>
      <c r="M11" s="737"/>
      <c r="N11" s="737">
        <v>2926.64</v>
      </c>
      <c r="O11" s="667"/>
      <c r="P11" s="738"/>
      <c r="AF11" s="736"/>
    </row>
    <row r="12" spans="2:32" ht="20.100000000000001" customHeight="1">
      <c r="B12" s="668">
        <v>2002</v>
      </c>
      <c r="C12" s="37"/>
      <c r="D12" s="737">
        <f t="shared" si="0"/>
        <v>88289.63</v>
      </c>
      <c r="E12" s="737"/>
      <c r="F12" s="737">
        <v>53088.44</v>
      </c>
      <c r="G12" s="737"/>
      <c r="H12" s="737">
        <v>5244.1</v>
      </c>
      <c r="I12" s="737"/>
      <c r="J12" s="737">
        <v>11927.51</v>
      </c>
      <c r="K12" s="737"/>
      <c r="L12" s="737">
        <v>14984.55</v>
      </c>
      <c r="M12" s="737"/>
      <c r="N12" s="737">
        <v>3045.03</v>
      </c>
      <c r="O12" s="667"/>
      <c r="P12" s="738"/>
      <c r="AF12" s="736"/>
    </row>
    <row r="13" spans="2:32" ht="20.100000000000001" customHeight="1">
      <c r="B13" s="668">
        <v>2003</v>
      </c>
      <c r="C13" s="37"/>
      <c r="D13" s="737">
        <f>SUM(F13:N13)</f>
        <v>93287.4</v>
      </c>
      <c r="E13" s="737"/>
      <c r="F13" s="737">
        <v>56635.9</v>
      </c>
      <c r="G13" s="737"/>
      <c r="H13" s="737">
        <v>5455</v>
      </c>
      <c r="I13" s="737"/>
      <c r="J13" s="737">
        <v>12449.5</v>
      </c>
      <c r="K13" s="737"/>
      <c r="L13" s="737">
        <v>15577.5</v>
      </c>
      <c r="M13" s="737"/>
      <c r="N13" s="737">
        <v>3169.5</v>
      </c>
      <c r="O13" s="667"/>
      <c r="P13" s="738"/>
      <c r="AF13" s="736"/>
    </row>
    <row r="14" spans="2:32" ht="20.100000000000001" customHeight="1">
      <c r="B14" s="668">
        <v>2004</v>
      </c>
      <c r="C14" s="37"/>
      <c r="D14" s="737">
        <f>SUM(F14:N14)</f>
        <v>98634.523000000001</v>
      </c>
      <c r="F14" s="739">
        <v>60412.504000000001</v>
      </c>
      <c r="H14" s="739">
        <v>5723.67</v>
      </c>
      <c r="J14" s="739">
        <v>12965.014999999999</v>
      </c>
      <c r="L14" s="739">
        <v>16229.099</v>
      </c>
      <c r="N14" s="739">
        <v>3304.2350000000001</v>
      </c>
      <c r="O14" s="667"/>
      <c r="P14" s="738"/>
      <c r="AF14" s="736"/>
    </row>
    <row r="15" spans="2:32" ht="20.100000000000001" customHeight="1">
      <c r="B15" s="668">
        <v>2005</v>
      </c>
      <c r="C15" s="37"/>
      <c r="D15" s="737">
        <f>SUM(F15:N15)</f>
        <v>102367.33300000001</v>
      </c>
      <c r="F15" s="739">
        <v>63157.06</v>
      </c>
      <c r="H15" s="739">
        <v>5882.6639999999998</v>
      </c>
      <c r="J15" s="739">
        <v>13303.966</v>
      </c>
      <c r="L15" s="739">
        <v>16611.445</v>
      </c>
      <c r="N15" s="739">
        <v>3412.1979999999999</v>
      </c>
      <c r="O15" s="667"/>
      <c r="P15" s="738"/>
      <c r="AF15" s="736"/>
    </row>
    <row r="16" spans="2:32" ht="20.100000000000001" customHeight="1">
      <c r="B16" s="668">
        <v>2006</v>
      </c>
      <c r="C16" s="37"/>
      <c r="D16" s="737">
        <f>SUM(F16:N16)</f>
        <v>110014.09999999999</v>
      </c>
      <c r="F16" s="739">
        <v>67876.399999999994</v>
      </c>
      <c r="H16" s="739">
        <v>6438.9</v>
      </c>
      <c r="J16" s="739">
        <v>14063</v>
      </c>
      <c r="L16" s="739">
        <v>17938.599999999999</v>
      </c>
      <c r="N16" s="739">
        <v>3697.2</v>
      </c>
      <c r="O16" s="667"/>
      <c r="P16" s="738"/>
      <c r="AF16" s="736"/>
    </row>
    <row r="17" spans="2:32" ht="20.100000000000001" customHeight="1">
      <c r="B17" s="668">
        <v>2007</v>
      </c>
      <c r="C17" s="37"/>
      <c r="D17" s="737">
        <f>SUM(F17:N17)</f>
        <v>115119.30000000002</v>
      </c>
      <c r="F17" s="739">
        <v>71222.8</v>
      </c>
      <c r="H17" s="739">
        <v>6696.3</v>
      </c>
      <c r="J17" s="739">
        <v>14790</v>
      </c>
      <c r="L17" s="739">
        <v>18513.099999999999</v>
      </c>
      <c r="N17" s="739">
        <v>3897.1</v>
      </c>
      <c r="O17" s="667"/>
      <c r="P17" s="738"/>
      <c r="AF17" s="736"/>
    </row>
    <row r="18" spans="2:32" ht="19.5" customHeight="1">
      <c r="B18" s="740">
        <v>2008</v>
      </c>
      <c r="C18" s="420"/>
      <c r="D18" s="679">
        <v>124461.3</v>
      </c>
      <c r="E18" s="679"/>
      <c r="F18" s="679">
        <v>76894.3</v>
      </c>
      <c r="G18" s="679"/>
      <c r="H18" s="679">
        <v>7250.9</v>
      </c>
      <c r="I18" s="679"/>
      <c r="J18" s="679">
        <v>16200.9</v>
      </c>
      <c r="K18" s="679"/>
      <c r="L18" s="679">
        <v>19910.599999999999</v>
      </c>
      <c r="M18" s="679"/>
      <c r="N18" s="679">
        <v>4204.5</v>
      </c>
      <c r="O18" s="741"/>
      <c r="P18" s="738"/>
      <c r="AF18" s="736"/>
    </row>
    <row r="19" spans="2:32" ht="19.5" customHeight="1">
      <c r="B19" s="680">
        <v>2009</v>
      </c>
      <c r="C19" s="662"/>
      <c r="D19" s="679">
        <v>132996.73741599999</v>
      </c>
      <c r="E19" s="679"/>
      <c r="F19" s="679">
        <v>82047.555164999998</v>
      </c>
      <c r="G19" s="679"/>
      <c r="H19" s="679">
        <v>8204.9178439999996</v>
      </c>
      <c r="I19" s="679"/>
      <c r="J19" s="679">
        <v>17253.003926000001</v>
      </c>
      <c r="K19" s="679"/>
      <c r="L19" s="679">
        <v>21106.779364000002</v>
      </c>
      <c r="M19" s="679"/>
      <c r="N19" s="679">
        <v>4384.4811170000003</v>
      </c>
      <c r="O19" s="741"/>
      <c r="P19" s="738"/>
      <c r="AF19" s="736"/>
    </row>
    <row r="20" spans="2:32" ht="19.5" customHeight="1">
      <c r="B20" s="680">
        <v>2010</v>
      </c>
      <c r="C20" s="420"/>
      <c r="D20" s="679">
        <v>141848.52619500001</v>
      </c>
      <c r="E20" s="742"/>
      <c r="F20" s="679">
        <v>88354.903456</v>
      </c>
      <c r="G20" s="679"/>
      <c r="H20" s="679">
        <v>8663.495766</v>
      </c>
      <c r="I20" s="679"/>
      <c r="J20" s="679">
        <v>18252.714018999999</v>
      </c>
      <c r="K20" s="679"/>
      <c r="L20" s="679">
        <v>22027.866247999998</v>
      </c>
      <c r="M20" s="679"/>
      <c r="N20" s="679">
        <v>4549.5467060000001</v>
      </c>
      <c r="O20" s="741"/>
      <c r="P20" s="738"/>
      <c r="AF20" s="736"/>
    </row>
    <row r="21" spans="2:32" ht="19.5" customHeight="1">
      <c r="B21" s="743">
        <v>2011</v>
      </c>
      <c r="C21" s="420"/>
      <c r="D21" s="679">
        <f t="shared" ref="D21:D27" si="1">SUM(F21:N21)</f>
        <v>147629.21258200001</v>
      </c>
      <c r="E21" s="742"/>
      <c r="F21" s="679">
        <v>93165.884327000007</v>
      </c>
      <c r="G21" s="679"/>
      <c r="H21" s="679">
        <v>8290.2132149999998</v>
      </c>
      <c r="I21" s="679"/>
      <c r="J21" s="679">
        <v>18891.915299</v>
      </c>
      <c r="K21" s="679"/>
      <c r="L21" s="679">
        <v>22566.102379</v>
      </c>
      <c r="M21" s="679"/>
      <c r="N21" s="679">
        <v>4715.0973620000004</v>
      </c>
      <c r="O21" s="744"/>
      <c r="P21" s="738"/>
      <c r="AF21" s="736"/>
    </row>
    <row r="22" spans="2:32" ht="19.5" customHeight="1">
      <c r="B22" s="743">
        <v>2012</v>
      </c>
      <c r="C22" s="303"/>
      <c r="D22" s="679">
        <f t="shared" si="1"/>
        <v>155416.417663</v>
      </c>
      <c r="E22" s="742"/>
      <c r="F22" s="679">
        <f>99099480012/1000000</f>
        <v>99099.480012</v>
      </c>
      <c r="G22" s="679"/>
      <c r="H22" s="679">
        <f>8599484979/1000000</f>
        <v>8599.4849790000007</v>
      </c>
      <c r="I22" s="679"/>
      <c r="J22" s="679">
        <f>19653215277/1000000</f>
        <v>19653.215276999999</v>
      </c>
      <c r="K22" s="679"/>
      <c r="L22" s="679">
        <f>23221775670/1000000</f>
        <v>23221.775669999999</v>
      </c>
      <c r="M22" s="679"/>
      <c r="N22" s="679">
        <f>4842461725/1000000</f>
        <v>4842.4617250000001</v>
      </c>
      <c r="O22" s="744"/>
      <c r="P22" s="738"/>
      <c r="AF22" s="736"/>
    </row>
    <row r="23" spans="2:32" ht="19.5" customHeight="1">
      <c r="B23" s="743">
        <v>2013</v>
      </c>
      <c r="C23" s="420"/>
      <c r="D23" s="679">
        <f t="shared" si="1"/>
        <v>162345.48139700003</v>
      </c>
      <c r="E23" s="742"/>
      <c r="F23" s="679">
        <f>104108817437/1000000</f>
        <v>104108.81743700001</v>
      </c>
      <c r="G23" s="679"/>
      <c r="H23" s="679">
        <f>8722909509/1000000</f>
        <v>8722.9095089999992</v>
      </c>
      <c r="I23" s="679"/>
      <c r="J23" s="679">
        <f>20563185466/1000000</f>
        <v>20563.185465999999</v>
      </c>
      <c r="K23" s="679"/>
      <c r="L23" s="679">
        <f>24011581307/1000000</f>
        <v>24011.581307</v>
      </c>
      <c r="M23" s="679"/>
      <c r="N23" s="679">
        <f>4938987678/1000000</f>
        <v>4938.9876780000004</v>
      </c>
      <c r="O23" s="744"/>
      <c r="P23" s="738"/>
      <c r="AF23" s="736"/>
    </row>
    <row r="24" spans="2:32" ht="19.5" customHeight="1">
      <c r="B24" s="743">
        <v>2014</v>
      </c>
      <c r="C24" s="420"/>
      <c r="D24" s="679">
        <f t="shared" si="1"/>
        <v>171747.58685000002</v>
      </c>
      <c r="E24" s="742"/>
      <c r="F24" s="679">
        <f>111053735914/1000000</f>
        <v>111053.735914</v>
      </c>
      <c r="G24" s="679"/>
      <c r="H24" s="679">
        <f>9224629010/1000000</f>
        <v>9224.6290100000006</v>
      </c>
      <c r="I24" s="679"/>
      <c r="J24" s="679">
        <f>21402990077/1000000</f>
        <v>21402.990076999999</v>
      </c>
      <c r="K24" s="679"/>
      <c r="L24" s="679">
        <f>24941329802/1000000</f>
        <v>24941.329802</v>
      </c>
      <c r="M24" s="679"/>
      <c r="N24" s="679">
        <f>5124902047/1000000</f>
        <v>5124.9020469999996</v>
      </c>
      <c r="O24" s="744"/>
      <c r="P24" s="738"/>
      <c r="AF24" s="736"/>
    </row>
    <row r="25" spans="2:32" ht="18" customHeight="1">
      <c r="B25" s="743">
        <v>2015</v>
      </c>
      <c r="C25" s="303"/>
      <c r="D25" s="679">
        <f t="shared" si="1"/>
        <v>182514.70945299999</v>
      </c>
      <c r="E25" s="742"/>
      <c r="F25" s="679">
        <f>[2]Manhattan!$AN$60/1000000</f>
        <v>118509.354217</v>
      </c>
      <c r="G25" s="679"/>
      <c r="H25" s="679">
        <f>[2]Bronx!$AN$60/1000000</f>
        <v>9737.9283269999996</v>
      </c>
      <c r="I25" s="679"/>
      <c r="J25" s="679">
        <f>[2]Brooklyn!$AN$60/1000000</f>
        <v>22774.171512000001</v>
      </c>
      <c r="K25" s="679"/>
      <c r="L25" s="679">
        <f>[2]Queens!$AN$60/1000000</f>
        <v>26184.096928999999</v>
      </c>
      <c r="M25" s="679"/>
      <c r="N25" s="679">
        <f>'[2]Staten Island'!$AN$60/1000000</f>
        <v>5309.1584679999996</v>
      </c>
      <c r="O25" s="744"/>
      <c r="P25" s="738"/>
      <c r="AF25" s="736"/>
    </row>
    <row r="26" spans="2:32" ht="18" customHeight="1">
      <c r="B26" s="743">
        <v>2016</v>
      </c>
      <c r="C26" s="420"/>
      <c r="D26" s="679">
        <f t="shared" si="1"/>
        <v>195185.39652600003</v>
      </c>
      <c r="E26" s="742"/>
      <c r="F26" s="679">
        <f>[6]Manhattan!$AN$62/1000000</f>
        <v>127314.349198</v>
      </c>
      <c r="G26" s="679"/>
      <c r="H26" s="679">
        <f>[6]Bronx!$AN$62/1000000</f>
        <v>10474.799698000001</v>
      </c>
      <c r="I26" s="679"/>
      <c r="J26" s="679">
        <f>[6]Brooklyn!$AN$62/1000000</f>
        <v>24258.542038</v>
      </c>
      <c r="K26" s="679"/>
      <c r="L26" s="679">
        <f>[6]Queens!$AN$62/1000000</f>
        <v>27664.912695999999</v>
      </c>
      <c r="M26" s="679"/>
      <c r="N26" s="679">
        <f>'[6]Staten Island'!$AN$62/1000000</f>
        <v>5472.7928959999999</v>
      </c>
      <c r="O26" s="744"/>
      <c r="P26" s="738"/>
      <c r="AF26" s="736"/>
    </row>
    <row r="27" spans="2:32" ht="18" customHeight="1">
      <c r="B27" s="745">
        <v>2017</v>
      </c>
      <c r="C27" s="433"/>
      <c r="D27" s="746">
        <f t="shared" si="1"/>
        <v>208611.093009</v>
      </c>
      <c r="E27" s="747"/>
      <c r="F27" s="746">
        <f>[5]Manhattan!$AN$62/1000000</f>
        <v>136617.98005700001</v>
      </c>
      <c r="G27" s="746"/>
      <c r="H27" s="746">
        <f>[5]Bronx!$AN$62/1000000</f>
        <v>10893.15681</v>
      </c>
      <c r="I27" s="746"/>
      <c r="J27" s="746">
        <f>[5]Brooklyn!$AN$62/1000000</f>
        <v>26098.242283</v>
      </c>
      <c r="K27" s="746"/>
      <c r="L27" s="746">
        <f>[5]Queens!$AN$62/1000000</f>
        <v>29332.448644</v>
      </c>
      <c r="M27" s="746"/>
      <c r="N27" s="746">
        <f>'[5]Staten Island'!$AN$62/1000000</f>
        <v>5669.2652150000004</v>
      </c>
      <c r="O27" s="748"/>
      <c r="P27" s="738"/>
      <c r="AF27" s="736"/>
    </row>
    <row r="28" spans="2:32" ht="14.25" customHeight="1">
      <c r="B28" s="12"/>
      <c r="C28" s="12"/>
      <c r="D28" s="12"/>
      <c r="E28" s="12"/>
      <c r="F28" s="12"/>
      <c r="G28" s="12"/>
      <c r="H28" s="12"/>
      <c r="I28" s="12"/>
      <c r="J28" s="12"/>
      <c r="K28" s="12"/>
      <c r="L28" s="12"/>
      <c r="M28" s="12"/>
      <c r="N28" s="12"/>
      <c r="O28" s="12"/>
      <c r="Q28" s="2"/>
      <c r="R28" s="2"/>
      <c r="S28" s="2"/>
      <c r="T28" t="s">
        <v>389</v>
      </c>
      <c r="AF28" s="736"/>
    </row>
    <row r="29" spans="2:32">
      <c r="B29" s="12" t="s">
        <v>249</v>
      </c>
      <c r="C29" s="12"/>
      <c r="D29" s="12"/>
      <c r="E29" s="12"/>
      <c r="F29" s="12"/>
      <c r="G29" s="12"/>
      <c r="H29" s="12"/>
      <c r="I29" s="12"/>
      <c r="J29" s="12"/>
      <c r="K29" s="12"/>
      <c r="L29" s="12"/>
      <c r="M29" s="12"/>
      <c r="N29" s="12"/>
      <c r="O29" s="12"/>
      <c r="Q29" s="2"/>
      <c r="R29" s="2"/>
      <c r="S29" s="2"/>
    </row>
    <row r="30" spans="2:32" ht="5.25" customHeight="1">
      <c r="B30" s="749"/>
      <c r="C30" s="749"/>
      <c r="D30" s="749"/>
      <c r="E30" s="749"/>
      <c r="F30" s="749"/>
      <c r="G30" s="749"/>
      <c r="H30" s="749"/>
      <c r="I30" s="749"/>
      <c r="J30" s="749"/>
      <c r="K30" s="749"/>
      <c r="L30" s="749"/>
      <c r="M30" s="749"/>
      <c r="N30" s="749"/>
      <c r="O30" s="749"/>
      <c r="Q30" s="2"/>
      <c r="R30" s="2"/>
      <c r="S30" s="2"/>
    </row>
    <row r="31" spans="2:32">
      <c r="B31" s="749"/>
      <c r="C31" s="749"/>
      <c r="D31" s="749"/>
      <c r="E31" s="749"/>
      <c r="F31" s="749"/>
      <c r="G31" s="749"/>
      <c r="H31" s="749"/>
      <c r="I31" s="749"/>
      <c r="J31" s="749"/>
      <c r="K31" s="749"/>
      <c r="L31" s="749"/>
      <c r="M31" s="749"/>
      <c r="N31" s="749"/>
      <c r="O31" s="749"/>
      <c r="Q31" s="2"/>
      <c r="R31" s="2"/>
      <c r="S31" s="2"/>
    </row>
    <row r="32" spans="2:32">
      <c r="B32" s="749"/>
      <c r="C32" s="749"/>
      <c r="D32" s="750"/>
      <c r="E32" s="750"/>
      <c r="F32" s="750"/>
      <c r="G32" s="749"/>
      <c r="H32" s="750"/>
      <c r="I32" s="751"/>
      <c r="J32" s="750"/>
      <c r="K32" s="750"/>
      <c r="L32" s="750"/>
      <c r="M32" s="750"/>
      <c r="N32" s="750"/>
      <c r="O32" s="750"/>
      <c r="Q32" s="2"/>
      <c r="R32" s="2"/>
      <c r="S32" s="2"/>
    </row>
    <row r="33" spans="2:28">
      <c r="B33" s="749"/>
      <c r="C33" s="749"/>
      <c r="D33" s="752"/>
      <c r="E33" s="752"/>
      <c r="F33" s="752"/>
      <c r="G33" s="752"/>
      <c r="H33" s="752"/>
      <c r="I33" s="752"/>
      <c r="J33" s="752"/>
      <c r="K33" s="752"/>
      <c r="L33" s="752"/>
      <c r="M33" s="752"/>
      <c r="N33" s="752"/>
      <c r="O33" s="752"/>
      <c r="Q33" s="2"/>
      <c r="R33" s="2"/>
      <c r="S33" s="2"/>
    </row>
    <row r="34" spans="2:28">
      <c r="B34" s="749"/>
      <c r="C34" s="749"/>
      <c r="D34" s="752"/>
      <c r="E34" s="752"/>
      <c r="F34" s="753"/>
      <c r="G34" s="754"/>
      <c r="H34" s="754"/>
      <c r="I34" s="754"/>
      <c r="J34" s="753"/>
      <c r="K34" s="752"/>
      <c r="L34" s="752"/>
      <c r="M34" s="752"/>
      <c r="N34" s="752"/>
      <c r="O34" s="752"/>
      <c r="P34" s="736"/>
      <c r="Q34" s="755"/>
      <c r="R34" s="755"/>
      <c r="S34" s="755"/>
      <c r="T34" s="736"/>
      <c r="U34" s="736"/>
      <c r="V34" s="736"/>
      <c r="W34" s="736"/>
      <c r="X34" s="736"/>
      <c r="Y34" s="736"/>
      <c r="Z34" s="736"/>
      <c r="AA34" s="736"/>
      <c r="AB34" s="736"/>
    </row>
    <row r="35" spans="2:28">
      <c r="B35" s="749"/>
      <c r="C35" s="749"/>
      <c r="D35" s="752"/>
      <c r="E35" s="752"/>
      <c r="F35" s="752"/>
      <c r="G35" s="752"/>
      <c r="H35" s="752"/>
      <c r="I35" s="752"/>
      <c r="J35" s="752"/>
      <c r="K35" s="752"/>
      <c r="L35" s="752"/>
      <c r="M35" s="752"/>
      <c r="N35" s="752"/>
      <c r="O35" s="752"/>
      <c r="P35" s="736"/>
      <c r="Q35" s="755"/>
      <c r="R35" s="755"/>
      <c r="S35" s="755"/>
      <c r="T35" s="736"/>
      <c r="U35" s="736"/>
      <c r="V35" s="736"/>
      <c r="W35" s="736"/>
      <c r="X35" s="736"/>
      <c r="Y35" s="736"/>
      <c r="Z35" s="736"/>
      <c r="AA35" s="736"/>
      <c r="AB35" s="736"/>
    </row>
    <row r="36" spans="2:28">
      <c r="B36" s="749"/>
      <c r="C36" s="749"/>
      <c r="D36" s="752"/>
      <c r="E36" s="752"/>
      <c r="F36" s="752"/>
      <c r="G36" s="752"/>
      <c r="H36" s="752"/>
      <c r="I36" s="752"/>
      <c r="J36" s="752"/>
      <c r="K36" s="752"/>
      <c r="L36" s="752"/>
      <c r="M36" s="752"/>
      <c r="N36" s="752"/>
      <c r="O36" s="752"/>
      <c r="P36" s="736"/>
      <c r="Q36" s="755"/>
      <c r="R36" s="755"/>
      <c r="S36" s="755"/>
      <c r="T36" s="736"/>
      <c r="U36" s="736"/>
      <c r="V36" s="736"/>
      <c r="W36" s="736"/>
      <c r="X36" s="736"/>
      <c r="Y36" s="736"/>
      <c r="Z36" s="736"/>
      <c r="AA36" s="736"/>
      <c r="AB36" s="736"/>
    </row>
    <row r="37" spans="2:28">
      <c r="B37" s="749"/>
      <c r="C37" s="749"/>
      <c r="D37" s="752"/>
      <c r="E37" s="752"/>
      <c r="F37" s="752"/>
      <c r="G37" s="752"/>
      <c r="H37" s="752"/>
      <c r="I37" s="752"/>
      <c r="J37" s="752"/>
      <c r="K37" s="752"/>
      <c r="L37" s="752"/>
      <c r="M37" s="752"/>
      <c r="N37" s="752"/>
      <c r="O37" s="752"/>
      <c r="P37" s="736"/>
      <c r="Q37" s="755"/>
      <c r="R37" s="755"/>
      <c r="S37" s="755"/>
      <c r="T37" s="736"/>
      <c r="U37" s="736"/>
      <c r="V37" s="736"/>
      <c r="W37" s="736"/>
      <c r="X37" s="736"/>
      <c r="Y37" s="736"/>
      <c r="Z37" s="736"/>
      <c r="AA37" s="736"/>
      <c r="AB37" s="736"/>
    </row>
    <row r="38" spans="2:28">
      <c r="B38" s="749"/>
      <c r="C38" s="749"/>
      <c r="D38" s="752"/>
      <c r="E38" s="752"/>
      <c r="F38" s="752"/>
      <c r="G38" s="752"/>
      <c r="H38" s="752"/>
      <c r="I38" s="752"/>
      <c r="J38" s="752"/>
      <c r="K38" s="752"/>
      <c r="L38" s="752"/>
      <c r="M38" s="752"/>
      <c r="N38" s="752"/>
      <c r="O38" s="752"/>
      <c r="P38" s="736"/>
      <c r="Q38" s="736"/>
      <c r="R38" s="736"/>
      <c r="S38" s="736"/>
      <c r="T38" s="736"/>
      <c r="U38" s="736"/>
      <c r="V38" s="736"/>
      <c r="W38" s="736"/>
      <c r="X38" s="736"/>
      <c r="Y38" s="736"/>
      <c r="Z38" s="736"/>
      <c r="AA38" s="736"/>
      <c r="AB38" s="736"/>
    </row>
    <row r="39" spans="2:28">
      <c r="B39" s="749"/>
      <c r="C39" s="749"/>
      <c r="D39" s="752"/>
      <c r="E39" s="752"/>
      <c r="F39" s="752"/>
      <c r="G39" s="752"/>
      <c r="H39" s="752"/>
      <c r="I39" s="752"/>
      <c r="J39" s="752"/>
      <c r="K39" s="752"/>
      <c r="L39" s="752"/>
      <c r="M39" s="752"/>
      <c r="N39" s="752"/>
      <c r="O39" s="752"/>
      <c r="P39" s="736"/>
      <c r="Q39" s="736"/>
      <c r="R39" s="736"/>
      <c r="S39" s="736"/>
      <c r="T39" s="736"/>
      <c r="U39" s="736"/>
      <c r="V39" s="736"/>
      <c r="W39" s="736"/>
      <c r="X39" s="736"/>
      <c r="Y39" s="736"/>
      <c r="Z39" s="736"/>
      <c r="AA39" s="736"/>
      <c r="AB39" s="736"/>
    </row>
    <row r="40" spans="2:28">
      <c r="B40" s="749"/>
      <c r="C40" s="749"/>
      <c r="D40" s="752"/>
      <c r="E40" s="752"/>
      <c r="F40" s="752"/>
      <c r="G40" s="752"/>
      <c r="H40" s="752"/>
      <c r="I40" s="752"/>
      <c r="J40" s="752"/>
      <c r="K40" s="752"/>
      <c r="L40" s="752"/>
      <c r="M40" s="752"/>
      <c r="N40" s="752"/>
      <c r="O40" s="752"/>
      <c r="P40" s="736"/>
      <c r="Q40" s="736"/>
      <c r="R40" s="736"/>
      <c r="S40" s="736"/>
      <c r="T40" s="736"/>
      <c r="U40" s="736"/>
      <c r="V40" s="736"/>
      <c r="W40" s="736"/>
      <c r="X40" s="736"/>
      <c r="Y40" s="736"/>
      <c r="Z40" s="736"/>
      <c r="AA40" s="736"/>
      <c r="AB40" s="736"/>
    </row>
    <row r="41" spans="2:28">
      <c r="B41" s="749"/>
      <c r="C41" s="749"/>
      <c r="D41" s="752"/>
      <c r="E41" s="752"/>
      <c r="F41" s="752"/>
      <c r="G41" s="752"/>
      <c r="H41" s="752"/>
      <c r="I41" s="752"/>
      <c r="J41" s="752"/>
      <c r="K41" s="752"/>
      <c r="L41" s="752"/>
      <c r="M41" s="752"/>
      <c r="N41" s="752"/>
      <c r="O41" s="752"/>
      <c r="P41" s="736"/>
      <c r="Q41" s="736"/>
      <c r="R41" s="736"/>
      <c r="S41" s="736"/>
      <c r="T41" s="736"/>
      <c r="U41" s="736"/>
      <c r="V41" s="736"/>
      <c r="W41" s="736"/>
      <c r="X41" s="736"/>
      <c r="Y41" s="736"/>
      <c r="Z41" s="736"/>
      <c r="AA41" s="736"/>
      <c r="AB41" s="736"/>
    </row>
    <row r="42" spans="2:28">
      <c r="B42" s="749"/>
      <c r="C42" s="749"/>
      <c r="D42" s="752"/>
      <c r="E42" s="752"/>
      <c r="F42" s="752"/>
      <c r="G42" s="752"/>
      <c r="H42" s="752"/>
      <c r="I42" s="752"/>
      <c r="J42" s="752"/>
      <c r="K42" s="752"/>
      <c r="L42" s="752"/>
      <c r="M42" s="752"/>
      <c r="N42" s="752"/>
      <c r="O42" s="752"/>
      <c r="P42" s="736"/>
      <c r="Q42" s="736"/>
      <c r="R42" s="736"/>
      <c r="S42" s="736"/>
      <c r="T42" s="736"/>
      <c r="U42" s="736"/>
      <c r="V42" s="736"/>
      <c r="W42" s="736"/>
      <c r="X42" s="736"/>
      <c r="Y42" s="736"/>
      <c r="Z42" s="736"/>
      <c r="AA42" s="736"/>
      <c r="AB42" s="736"/>
    </row>
    <row r="43" spans="2:28">
      <c r="B43" s="749"/>
      <c r="C43" s="749"/>
      <c r="D43" s="752"/>
      <c r="E43" s="752"/>
      <c r="F43" s="752"/>
      <c r="G43" s="752"/>
      <c r="H43" s="752"/>
      <c r="I43" s="752"/>
      <c r="J43" s="752"/>
      <c r="K43" s="752"/>
      <c r="L43" s="752"/>
      <c r="M43" s="752"/>
      <c r="N43" s="752"/>
      <c r="O43" s="752"/>
      <c r="P43" s="736"/>
      <c r="Q43" s="736"/>
      <c r="R43" s="736"/>
      <c r="S43" s="736"/>
      <c r="T43" s="736"/>
      <c r="U43" s="736"/>
      <c r="V43" s="736"/>
      <c r="W43" s="736"/>
      <c r="X43" s="736"/>
      <c r="Y43" s="736"/>
      <c r="Z43" s="736"/>
      <c r="AA43" s="736"/>
      <c r="AB43" s="736"/>
    </row>
    <row r="44" spans="2:28">
      <c r="B44" s="749"/>
      <c r="C44" s="749"/>
      <c r="D44" s="752"/>
      <c r="E44" s="752"/>
      <c r="F44" s="752"/>
      <c r="G44" s="752"/>
      <c r="H44" s="752"/>
      <c r="I44" s="752"/>
      <c r="J44" s="752"/>
      <c r="K44" s="752"/>
      <c r="L44" s="752"/>
      <c r="M44" s="752"/>
      <c r="N44" s="752"/>
      <c r="O44" s="752"/>
      <c r="P44" s="736"/>
      <c r="Q44" s="736"/>
      <c r="R44" s="736"/>
      <c r="S44" s="736"/>
      <c r="T44" s="736"/>
      <c r="U44" s="736"/>
      <c r="V44" s="736"/>
      <c r="W44" s="736"/>
      <c r="X44" s="736"/>
      <c r="Y44" s="736"/>
      <c r="Z44" s="736"/>
      <c r="AA44" s="736"/>
      <c r="AB44" s="736"/>
    </row>
    <row r="45" spans="2:28">
      <c r="B45" s="749"/>
      <c r="C45" s="749"/>
      <c r="D45" s="752"/>
      <c r="E45" s="752"/>
      <c r="F45" s="752"/>
      <c r="G45" s="752"/>
      <c r="H45" s="752"/>
      <c r="I45" s="752"/>
      <c r="J45" s="752"/>
      <c r="K45" s="752"/>
      <c r="L45" s="752"/>
      <c r="M45" s="752"/>
      <c r="N45" s="752"/>
      <c r="O45" s="752"/>
      <c r="P45" s="736"/>
      <c r="Q45" s="736"/>
      <c r="R45" s="736"/>
      <c r="S45" s="736"/>
      <c r="T45" s="736"/>
      <c r="U45" s="736"/>
      <c r="V45" s="736"/>
      <c r="W45" s="736"/>
      <c r="X45" s="736"/>
      <c r="Y45" s="736"/>
      <c r="Z45" s="736"/>
      <c r="AA45" s="736"/>
      <c r="AB45" s="736"/>
    </row>
    <row r="46" spans="2:28">
      <c r="B46" s="749"/>
      <c r="C46" s="749"/>
      <c r="D46" s="752"/>
      <c r="E46" s="752"/>
      <c r="F46" s="752"/>
      <c r="G46" s="752"/>
      <c r="H46" s="752"/>
      <c r="I46" s="752"/>
      <c r="J46" s="752"/>
      <c r="K46" s="752"/>
      <c r="L46" s="752"/>
      <c r="M46" s="752"/>
      <c r="N46" s="752"/>
      <c r="O46" s="752"/>
      <c r="P46" s="736"/>
      <c r="Q46" s="736"/>
      <c r="R46" s="736"/>
      <c r="S46" s="736"/>
      <c r="T46" s="736"/>
      <c r="U46" s="736"/>
      <c r="V46" s="736"/>
      <c r="W46" s="736"/>
      <c r="X46" s="736"/>
      <c r="Y46" s="736"/>
      <c r="Z46" s="736"/>
      <c r="AA46" s="736"/>
      <c r="AB46" s="736"/>
    </row>
    <row r="47" spans="2:28">
      <c r="B47" s="749"/>
      <c r="C47" s="749"/>
      <c r="D47" s="752"/>
      <c r="E47" s="752"/>
      <c r="F47" s="752"/>
      <c r="G47" s="752"/>
      <c r="H47" s="752"/>
      <c r="I47" s="752"/>
      <c r="J47" s="752"/>
      <c r="K47" s="752"/>
      <c r="L47" s="752"/>
      <c r="M47" s="752"/>
      <c r="N47" s="752"/>
      <c r="O47" s="752"/>
      <c r="P47" s="736"/>
      <c r="Q47" s="736"/>
      <c r="R47" s="736"/>
      <c r="S47" s="736"/>
      <c r="T47" s="736"/>
      <c r="U47" s="736"/>
      <c r="V47" s="736"/>
      <c r="W47" s="736"/>
      <c r="X47" s="736"/>
      <c r="Y47" s="736"/>
      <c r="Z47" s="736"/>
      <c r="AA47" s="736"/>
      <c r="AB47" s="736"/>
    </row>
    <row r="48" spans="2:28">
      <c r="B48" s="749"/>
      <c r="C48" s="749"/>
      <c r="D48" s="752"/>
      <c r="E48" s="752"/>
      <c r="F48" s="752"/>
      <c r="G48" s="752"/>
      <c r="H48" s="752"/>
      <c r="I48" s="752"/>
      <c r="J48" s="752"/>
      <c r="K48" s="752"/>
      <c r="L48" s="752"/>
      <c r="M48" s="752"/>
      <c r="N48" s="752"/>
      <c r="O48" s="752"/>
      <c r="P48" s="736"/>
      <c r="Q48" s="736"/>
      <c r="R48" s="736"/>
      <c r="S48" s="736"/>
      <c r="T48" s="736"/>
      <c r="U48" s="736"/>
      <c r="V48" s="736"/>
      <c r="W48" s="736"/>
      <c r="X48" s="736"/>
      <c r="Y48" s="736"/>
      <c r="Z48" s="736"/>
      <c r="AA48" s="736"/>
      <c r="AB48" s="736"/>
    </row>
    <row r="49" spans="2:28">
      <c r="B49" s="749"/>
      <c r="C49" s="749"/>
      <c r="D49" s="752"/>
      <c r="E49" s="752"/>
      <c r="F49" s="752"/>
      <c r="G49" s="752"/>
      <c r="H49" s="752"/>
      <c r="I49" s="752"/>
      <c r="J49" s="752"/>
      <c r="K49" s="752"/>
      <c r="L49" s="752"/>
      <c r="M49" s="752"/>
      <c r="N49" s="752"/>
      <c r="O49" s="752"/>
      <c r="P49" s="736"/>
      <c r="Q49" s="736"/>
      <c r="R49" s="736"/>
      <c r="S49" s="736"/>
      <c r="T49" s="736"/>
      <c r="U49" s="736"/>
      <c r="V49" s="736"/>
      <c r="W49" s="736"/>
      <c r="X49" s="736"/>
      <c r="Y49" s="736"/>
      <c r="Z49" s="736"/>
      <c r="AA49" s="736"/>
      <c r="AB49" s="736"/>
    </row>
    <row r="50" spans="2:28">
      <c r="B50" s="749"/>
      <c r="C50" s="749"/>
      <c r="D50" s="752"/>
      <c r="E50" s="752"/>
      <c r="F50" s="752"/>
      <c r="G50" s="752"/>
      <c r="H50" s="752"/>
      <c r="I50" s="752"/>
      <c r="J50" s="752"/>
      <c r="K50" s="752"/>
      <c r="L50" s="752"/>
      <c r="M50" s="752"/>
      <c r="N50" s="752"/>
      <c r="O50" s="752"/>
      <c r="P50" s="736"/>
      <c r="Q50" s="736"/>
    </row>
    <row r="51" spans="2:28">
      <c r="B51" s="749"/>
      <c r="C51" s="749"/>
      <c r="D51" s="749"/>
      <c r="E51" s="749"/>
      <c r="F51" s="749"/>
      <c r="G51" s="749"/>
      <c r="H51" s="749"/>
      <c r="I51" s="749"/>
      <c r="J51" s="749"/>
      <c r="K51" s="749"/>
      <c r="L51" s="749"/>
      <c r="M51" s="749"/>
      <c r="N51" s="749"/>
      <c r="O51" s="749"/>
      <c r="P51" s="736"/>
      <c r="Q51" s="736"/>
    </row>
    <row r="52" spans="2:28">
      <c r="B52" s="749"/>
      <c r="C52" s="749"/>
      <c r="D52" s="749"/>
      <c r="E52" s="749"/>
      <c r="F52" s="749"/>
      <c r="G52" s="749"/>
      <c r="H52" s="749"/>
      <c r="I52" s="749"/>
      <c r="J52" s="749"/>
      <c r="K52" s="749"/>
      <c r="L52" s="749"/>
      <c r="M52" s="749"/>
      <c r="N52" s="749"/>
      <c r="O52" s="749"/>
    </row>
    <row r="53" spans="2:28">
      <c r="B53" s="749"/>
      <c r="C53" s="749"/>
      <c r="D53" s="749"/>
      <c r="E53" s="749"/>
      <c r="F53" s="749"/>
      <c r="G53" s="749"/>
      <c r="H53" s="749"/>
      <c r="I53" s="749"/>
      <c r="J53" s="749"/>
      <c r="K53" s="749"/>
      <c r="L53" s="749"/>
      <c r="M53" s="749"/>
      <c r="N53" s="749"/>
      <c r="O53" s="749"/>
    </row>
    <row r="54" spans="2:28">
      <c r="B54" s="749"/>
      <c r="C54" s="749"/>
      <c r="D54" s="749"/>
      <c r="E54" s="749"/>
      <c r="F54" s="749"/>
      <c r="G54" s="749"/>
      <c r="H54" s="749"/>
      <c r="I54" s="749"/>
      <c r="J54" s="749"/>
      <c r="K54" s="749"/>
      <c r="L54" s="749"/>
      <c r="M54" s="749"/>
      <c r="N54" s="749"/>
      <c r="O54" s="749"/>
    </row>
    <row r="55" spans="2:28">
      <c r="B55" s="749"/>
      <c r="C55" s="749"/>
      <c r="D55" s="749"/>
      <c r="E55" s="749"/>
      <c r="F55" s="749"/>
      <c r="G55" s="749"/>
      <c r="H55" s="749"/>
      <c r="I55" s="749"/>
      <c r="J55" s="749"/>
      <c r="K55" s="749"/>
      <c r="L55" s="749"/>
      <c r="M55" s="749"/>
      <c r="N55" s="749"/>
      <c r="O55" s="749"/>
    </row>
    <row r="56" spans="2:28">
      <c r="B56" s="749"/>
      <c r="C56" s="749"/>
      <c r="D56" s="749"/>
      <c r="E56" s="749"/>
      <c r="F56" s="749"/>
      <c r="G56" s="749"/>
      <c r="H56" s="749"/>
      <c r="I56" s="749"/>
      <c r="J56" s="749"/>
      <c r="K56" s="749"/>
      <c r="L56" s="749"/>
      <c r="M56" s="749"/>
      <c r="N56" s="749"/>
      <c r="O56" s="749"/>
    </row>
    <row r="57" spans="2:28">
      <c r="B57" s="749"/>
      <c r="C57" s="749"/>
      <c r="D57" s="752"/>
      <c r="E57" s="752"/>
      <c r="F57" s="752"/>
      <c r="G57" s="752"/>
      <c r="H57" s="752"/>
      <c r="I57" s="752"/>
      <c r="J57" s="752"/>
      <c r="K57" s="752"/>
      <c r="L57" s="752"/>
      <c r="M57" s="752"/>
      <c r="N57" s="752"/>
      <c r="O57" s="752"/>
    </row>
    <row r="58" spans="2:28">
      <c r="B58" s="749"/>
      <c r="C58" s="749"/>
      <c r="D58" s="756"/>
      <c r="E58" s="752"/>
      <c r="F58" s="752"/>
      <c r="G58" s="752"/>
      <c r="H58" s="752"/>
      <c r="I58" s="752"/>
      <c r="J58" s="752"/>
      <c r="K58" s="752"/>
      <c r="L58" s="752"/>
      <c r="M58" s="752"/>
      <c r="N58" s="752"/>
      <c r="O58" s="752"/>
      <c r="P58" s="736"/>
      <c r="Q58" s="736"/>
    </row>
    <row r="59" spans="2:28">
      <c r="B59" s="749"/>
      <c r="C59" s="749"/>
      <c r="D59" s="752"/>
      <c r="E59" s="752"/>
      <c r="F59" s="752"/>
      <c r="G59" s="752"/>
      <c r="H59" s="752"/>
      <c r="I59" s="752"/>
      <c r="J59" s="752"/>
      <c r="K59" s="752"/>
      <c r="L59" s="752"/>
      <c r="M59" s="752"/>
      <c r="N59" s="752"/>
      <c r="O59" s="752"/>
      <c r="P59" s="757"/>
      <c r="Q59" s="736"/>
    </row>
    <row r="60" spans="2:28">
      <c r="B60" s="749"/>
      <c r="C60" s="749"/>
      <c r="D60" s="752"/>
      <c r="E60" s="752"/>
      <c r="F60" s="752"/>
      <c r="G60" s="752"/>
      <c r="H60" s="752"/>
      <c r="I60" s="752"/>
      <c r="J60" s="752"/>
      <c r="K60" s="752"/>
      <c r="L60" s="752"/>
      <c r="M60" s="752"/>
      <c r="N60" s="752"/>
      <c r="O60" s="752"/>
      <c r="P60" s="757"/>
      <c r="Q60" s="736"/>
    </row>
    <row r="61" spans="2:28">
      <c r="B61" s="749"/>
      <c r="C61" s="749"/>
      <c r="D61" s="752"/>
      <c r="E61" s="752"/>
      <c r="F61" s="752"/>
      <c r="G61" s="752"/>
      <c r="H61" s="752"/>
      <c r="I61" s="752"/>
      <c r="J61" s="752"/>
      <c r="K61" s="752"/>
      <c r="L61" s="752"/>
      <c r="M61" s="752"/>
      <c r="N61" s="752"/>
      <c r="O61" s="752"/>
      <c r="P61" s="757"/>
      <c r="Q61" s="736"/>
    </row>
    <row r="62" spans="2:28">
      <c r="B62" s="749"/>
      <c r="C62" s="749"/>
      <c r="D62" s="752"/>
      <c r="E62" s="752"/>
      <c r="F62" s="752"/>
      <c r="G62" s="752"/>
      <c r="H62" s="752"/>
      <c r="I62" s="752"/>
      <c r="J62" s="752"/>
      <c r="K62" s="752"/>
      <c r="L62" s="752"/>
      <c r="M62" s="752"/>
      <c r="N62" s="752"/>
      <c r="O62" s="752"/>
      <c r="P62" s="757"/>
      <c r="Q62" s="736"/>
    </row>
    <row r="63" spans="2:28">
      <c r="B63" s="749"/>
      <c r="C63" s="749"/>
      <c r="D63" s="752"/>
      <c r="E63" s="752"/>
      <c r="F63" s="752"/>
      <c r="G63" s="752"/>
      <c r="H63" s="752"/>
      <c r="I63" s="752"/>
      <c r="J63" s="752"/>
      <c r="K63" s="752"/>
      <c r="L63" s="752"/>
      <c r="M63" s="752"/>
      <c r="N63" s="752"/>
      <c r="O63" s="752"/>
      <c r="P63" s="757"/>
      <c r="Q63" s="736"/>
    </row>
    <row r="64" spans="2:28">
      <c r="B64" s="749"/>
      <c r="C64" s="749"/>
      <c r="D64" s="752"/>
      <c r="E64" s="752"/>
      <c r="F64" s="752"/>
      <c r="G64" s="752"/>
      <c r="H64" s="752"/>
      <c r="I64" s="752"/>
      <c r="J64" s="752"/>
      <c r="K64" s="752"/>
      <c r="L64" s="752"/>
      <c r="M64" s="752"/>
      <c r="N64" s="752"/>
      <c r="O64" s="752"/>
      <c r="P64" s="757"/>
      <c r="Q64" s="736"/>
    </row>
    <row r="65" spans="2:17">
      <c r="B65" s="749"/>
      <c r="C65" s="749"/>
      <c r="D65" s="752"/>
      <c r="E65" s="752"/>
      <c r="F65" s="752"/>
      <c r="G65" s="752"/>
      <c r="H65" s="752"/>
      <c r="I65" s="752"/>
      <c r="J65" s="752"/>
      <c r="K65" s="752"/>
      <c r="L65" s="752"/>
      <c r="M65" s="752"/>
      <c r="N65" s="752"/>
      <c r="O65" s="752"/>
      <c r="P65" s="757"/>
      <c r="Q65" s="736"/>
    </row>
    <row r="66" spans="2:17">
      <c r="B66" s="749"/>
      <c r="C66" s="749"/>
      <c r="D66" s="752"/>
      <c r="E66" s="752"/>
      <c r="F66" s="752"/>
      <c r="G66" s="752"/>
      <c r="H66" s="752"/>
      <c r="I66" s="752"/>
      <c r="J66" s="752"/>
      <c r="K66" s="752"/>
      <c r="L66" s="752"/>
      <c r="M66" s="752"/>
      <c r="N66" s="752"/>
      <c r="O66" s="752"/>
      <c r="P66" s="757"/>
      <c r="Q66" s="736"/>
    </row>
    <row r="67" spans="2:17">
      <c r="B67" s="749"/>
      <c r="C67" s="749"/>
      <c r="D67" s="752"/>
      <c r="E67" s="752"/>
      <c r="F67" s="752"/>
      <c r="G67" s="752"/>
      <c r="H67" s="752"/>
      <c r="I67" s="752"/>
      <c r="J67" s="752"/>
      <c r="K67" s="752"/>
      <c r="L67" s="752"/>
      <c r="M67" s="752"/>
      <c r="N67" s="752"/>
      <c r="O67" s="752"/>
      <c r="P67" s="757"/>
      <c r="Q67" s="736"/>
    </row>
    <row r="68" spans="2:17">
      <c r="B68" s="749"/>
      <c r="C68" s="749"/>
      <c r="D68" s="752"/>
      <c r="E68" s="752"/>
      <c r="F68" s="752"/>
      <c r="G68" s="752"/>
      <c r="H68" s="752"/>
      <c r="I68" s="752"/>
      <c r="J68" s="752"/>
      <c r="K68" s="752"/>
      <c r="L68" s="752"/>
      <c r="M68" s="752"/>
      <c r="N68" s="752"/>
      <c r="O68" s="752"/>
      <c r="P68" s="757"/>
      <c r="Q68" s="736"/>
    </row>
    <row r="69" spans="2:17">
      <c r="B69" s="749"/>
      <c r="C69" s="749"/>
      <c r="D69" s="752"/>
      <c r="E69" s="752"/>
      <c r="F69" s="752"/>
      <c r="G69" s="752"/>
      <c r="H69" s="752"/>
      <c r="I69" s="752"/>
      <c r="J69" s="752"/>
      <c r="K69" s="752"/>
      <c r="L69" s="752"/>
      <c r="M69" s="752"/>
      <c r="N69" s="752"/>
      <c r="O69" s="752"/>
      <c r="P69" s="757"/>
      <c r="Q69" s="736"/>
    </row>
    <row r="70" spans="2:17">
      <c r="B70" s="749"/>
      <c r="C70" s="749"/>
      <c r="D70" s="752"/>
      <c r="E70" s="752"/>
      <c r="F70" s="752"/>
      <c r="G70" s="752"/>
      <c r="H70" s="752"/>
      <c r="I70" s="752"/>
      <c r="J70" s="752"/>
      <c r="K70" s="752"/>
      <c r="L70" s="752"/>
      <c r="M70" s="752"/>
      <c r="N70" s="752"/>
      <c r="O70" s="752"/>
      <c r="P70" s="757"/>
      <c r="Q70" s="736"/>
    </row>
    <row r="71" spans="2:17">
      <c r="B71" s="749"/>
      <c r="C71" s="749"/>
      <c r="D71" s="752"/>
      <c r="E71" s="752"/>
      <c r="F71" s="752"/>
      <c r="G71" s="752"/>
      <c r="H71" s="752"/>
      <c r="I71" s="752"/>
      <c r="J71" s="752"/>
      <c r="K71" s="752"/>
      <c r="L71" s="752"/>
      <c r="M71" s="752"/>
      <c r="N71" s="752"/>
      <c r="O71" s="752"/>
      <c r="P71" s="757"/>
      <c r="Q71" s="736"/>
    </row>
    <row r="72" spans="2:17">
      <c r="B72" s="749"/>
      <c r="C72" s="749"/>
      <c r="D72" s="752"/>
      <c r="E72" s="752"/>
      <c r="F72" s="752"/>
      <c r="G72" s="752"/>
      <c r="H72" s="752"/>
      <c r="I72" s="752"/>
      <c r="J72" s="752"/>
      <c r="K72" s="752"/>
      <c r="L72" s="752"/>
      <c r="M72" s="752"/>
      <c r="N72" s="752"/>
      <c r="O72" s="752"/>
      <c r="P72" s="757"/>
      <c r="Q72" s="736"/>
    </row>
    <row r="73" spans="2:17">
      <c r="B73" s="749"/>
      <c r="C73" s="749"/>
      <c r="D73" s="752"/>
      <c r="E73" s="752"/>
      <c r="F73" s="752"/>
      <c r="G73" s="752"/>
      <c r="H73" s="752"/>
      <c r="I73" s="752"/>
      <c r="J73" s="752"/>
      <c r="K73" s="752"/>
      <c r="L73" s="752"/>
      <c r="M73" s="752"/>
      <c r="N73" s="752"/>
      <c r="O73" s="752"/>
      <c r="P73" s="757"/>
      <c r="Q73" s="736"/>
    </row>
    <row r="74" spans="2:17">
      <c r="B74" s="749"/>
      <c r="C74" s="749"/>
      <c r="D74" s="752"/>
      <c r="E74" s="749"/>
      <c r="F74" s="749"/>
      <c r="G74" s="749"/>
      <c r="H74" s="749"/>
      <c r="I74" s="749"/>
      <c r="J74" s="749"/>
      <c r="K74" s="749"/>
      <c r="L74" s="749"/>
      <c r="M74" s="749"/>
      <c r="N74" s="749"/>
      <c r="O74" s="749"/>
      <c r="P74" s="757"/>
      <c r="Q74" s="736"/>
    </row>
    <row r="75" spans="2:17">
      <c r="B75" s="749"/>
      <c r="C75" s="749"/>
      <c r="D75" s="752"/>
      <c r="E75" s="749"/>
      <c r="F75" s="749"/>
      <c r="G75" s="749"/>
      <c r="H75" s="749"/>
      <c r="I75" s="749"/>
      <c r="J75" s="749"/>
      <c r="K75" s="749"/>
      <c r="L75" s="749"/>
      <c r="M75" s="749"/>
      <c r="N75" s="749"/>
      <c r="O75" s="749"/>
      <c r="P75" s="757"/>
      <c r="Q75" s="736"/>
    </row>
    <row r="76" spans="2:17">
      <c r="B76" s="749"/>
      <c r="C76" s="749"/>
      <c r="D76" s="752"/>
      <c r="E76" s="749"/>
      <c r="F76" s="749"/>
      <c r="G76" s="749"/>
      <c r="H76" s="749"/>
      <c r="I76" s="749"/>
      <c r="J76" s="749"/>
      <c r="K76" s="749"/>
      <c r="L76" s="749"/>
      <c r="M76" s="749"/>
      <c r="N76" s="749"/>
      <c r="O76" s="749"/>
      <c r="P76" s="757"/>
      <c r="Q76" s="736"/>
    </row>
    <row r="77" spans="2:17">
      <c r="B77" s="749"/>
      <c r="C77" s="749"/>
      <c r="D77" s="752"/>
      <c r="E77" s="749"/>
      <c r="F77" s="749"/>
      <c r="G77" s="749"/>
      <c r="H77" s="749"/>
      <c r="I77" s="749"/>
      <c r="J77" s="749"/>
      <c r="K77" s="749"/>
      <c r="L77" s="749"/>
      <c r="M77" s="749"/>
      <c r="N77" s="749"/>
      <c r="O77" s="749"/>
      <c r="P77" s="757"/>
      <c r="Q77" s="736"/>
    </row>
    <row r="78" spans="2:17">
      <c r="B78" s="749"/>
      <c r="C78" s="749"/>
      <c r="D78" s="752"/>
      <c r="E78" s="749"/>
      <c r="F78" s="749"/>
      <c r="G78" s="749"/>
      <c r="H78" s="749"/>
      <c r="I78" s="749"/>
      <c r="J78" s="749"/>
      <c r="K78" s="749"/>
      <c r="L78" s="749"/>
      <c r="M78" s="749"/>
      <c r="N78" s="749"/>
      <c r="O78" s="749"/>
      <c r="P78" s="757"/>
      <c r="Q78" s="736"/>
    </row>
    <row r="79" spans="2:17">
      <c r="B79" s="749"/>
      <c r="C79" s="749"/>
      <c r="D79" s="752"/>
      <c r="E79" s="749"/>
      <c r="F79" s="749"/>
      <c r="G79" s="749"/>
      <c r="H79" s="749"/>
      <c r="I79" s="749"/>
      <c r="J79" s="749"/>
      <c r="K79" s="749"/>
      <c r="L79" s="749"/>
      <c r="M79" s="749"/>
      <c r="N79" s="749"/>
      <c r="O79" s="749"/>
      <c r="P79" s="757"/>
      <c r="Q79" s="736"/>
    </row>
    <row r="80" spans="2:17">
      <c r="B80" s="749"/>
      <c r="C80" s="749"/>
      <c r="D80" s="749"/>
      <c r="E80" s="749"/>
      <c r="F80" s="749"/>
      <c r="G80" s="749"/>
      <c r="H80" s="749"/>
      <c r="I80" s="749"/>
      <c r="J80" s="749"/>
      <c r="K80" s="749"/>
      <c r="L80" s="749"/>
      <c r="M80" s="749"/>
      <c r="N80" s="749"/>
      <c r="O80" s="749"/>
      <c r="P80" s="758"/>
    </row>
    <row r="81" spans="2:16">
      <c r="B81" s="749"/>
      <c r="C81" s="749"/>
      <c r="D81" s="750"/>
      <c r="E81" s="750"/>
      <c r="F81" s="750"/>
      <c r="G81" s="749"/>
      <c r="H81" s="750"/>
      <c r="I81" s="750"/>
      <c r="J81" s="750"/>
      <c r="K81" s="750"/>
      <c r="L81" s="750"/>
      <c r="M81" s="750"/>
      <c r="N81" s="750"/>
      <c r="O81" s="749"/>
      <c r="P81" s="758"/>
    </row>
    <row r="82" spans="2:16">
      <c r="B82" s="749"/>
      <c r="C82" s="749"/>
      <c r="D82" s="750"/>
      <c r="E82" s="750"/>
      <c r="F82" s="750"/>
      <c r="G82" s="749"/>
      <c r="H82" s="750"/>
      <c r="I82" s="750"/>
      <c r="J82" s="750"/>
      <c r="K82" s="750"/>
      <c r="L82" s="750"/>
      <c r="M82" s="750"/>
      <c r="N82" s="750"/>
      <c r="O82" s="749"/>
      <c r="P82" s="758"/>
    </row>
    <row r="83" spans="2:16">
      <c r="B83" s="749"/>
      <c r="C83" s="749"/>
      <c r="D83" s="750"/>
      <c r="E83" s="750"/>
      <c r="F83" s="750"/>
      <c r="G83" s="749"/>
      <c r="H83" s="750"/>
      <c r="I83" s="750"/>
      <c r="J83" s="750"/>
      <c r="K83" s="750"/>
      <c r="L83" s="750"/>
      <c r="M83" s="750"/>
      <c r="N83" s="750"/>
      <c r="O83" s="749"/>
      <c r="P83" s="758"/>
    </row>
    <row r="84" spans="2:16">
      <c r="B84" s="749"/>
      <c r="C84" s="749"/>
      <c r="D84" s="750"/>
      <c r="E84" s="750"/>
      <c r="F84" s="750"/>
      <c r="G84" s="749"/>
      <c r="H84" s="750"/>
      <c r="I84" s="750"/>
      <c r="J84" s="750"/>
      <c r="K84" s="750"/>
      <c r="L84" s="750"/>
      <c r="M84" s="750"/>
      <c r="N84" s="750"/>
      <c r="O84" s="749"/>
      <c r="P84" s="758"/>
    </row>
    <row r="85" spans="2:16">
      <c r="B85" s="749"/>
      <c r="C85" s="749"/>
      <c r="D85" s="750"/>
      <c r="E85" s="750"/>
      <c r="F85" s="750"/>
      <c r="G85" s="749"/>
      <c r="H85" s="750"/>
      <c r="I85" s="750"/>
      <c r="J85" s="750"/>
      <c r="K85" s="750"/>
      <c r="L85" s="750"/>
      <c r="M85" s="750"/>
      <c r="N85" s="750"/>
      <c r="O85" s="750"/>
      <c r="P85" s="758"/>
    </row>
    <row r="86" spans="2:16">
      <c r="B86" s="749"/>
      <c r="C86" s="749"/>
      <c r="D86" s="750"/>
      <c r="E86" s="750"/>
      <c r="F86" s="752"/>
      <c r="G86" s="749"/>
      <c r="H86" s="752"/>
      <c r="I86" s="750"/>
      <c r="J86" s="752"/>
      <c r="K86" s="749"/>
      <c r="L86" s="752"/>
      <c r="M86" s="750"/>
      <c r="N86" s="752"/>
      <c r="O86" s="750"/>
      <c r="P86" s="758"/>
    </row>
    <row r="87" spans="2:16">
      <c r="B87" s="749"/>
      <c r="C87" s="749"/>
      <c r="D87" s="750"/>
      <c r="E87" s="750"/>
      <c r="F87" s="752"/>
      <c r="G87" s="749"/>
      <c r="H87" s="752"/>
      <c r="I87" s="750"/>
      <c r="J87" s="752"/>
      <c r="K87" s="749"/>
      <c r="L87" s="752"/>
      <c r="M87" s="750"/>
      <c r="N87" s="752"/>
      <c r="O87" s="750"/>
      <c r="P87" s="758"/>
    </row>
    <row r="88" spans="2:16">
      <c r="B88" s="749"/>
      <c r="C88" s="749"/>
      <c r="D88" s="750"/>
      <c r="E88" s="750"/>
      <c r="F88" s="752"/>
      <c r="G88" s="749"/>
      <c r="H88" s="752"/>
      <c r="I88" s="752"/>
      <c r="J88" s="752"/>
      <c r="K88" s="752"/>
      <c r="L88" s="752"/>
      <c r="M88" s="752"/>
      <c r="N88" s="752"/>
      <c r="O88" s="750"/>
      <c r="P88" s="758"/>
    </row>
    <row r="89" spans="2:16">
      <c r="B89" s="749"/>
      <c r="C89" s="749"/>
      <c r="D89" s="750"/>
      <c r="E89" s="750"/>
      <c r="F89" s="752"/>
      <c r="G89" s="749"/>
      <c r="H89" s="752"/>
      <c r="I89" s="750"/>
      <c r="J89" s="752"/>
      <c r="K89" s="749"/>
      <c r="L89" s="752"/>
      <c r="M89" s="750"/>
      <c r="N89" s="752"/>
      <c r="O89" s="750"/>
      <c r="P89" s="758"/>
    </row>
    <row r="90" spans="2:16">
      <c r="B90" s="749"/>
      <c r="C90" s="749"/>
      <c r="D90" s="750"/>
      <c r="E90" s="750"/>
      <c r="F90" s="750"/>
      <c r="G90" s="749"/>
      <c r="H90" s="750"/>
      <c r="I90" s="750"/>
      <c r="J90" s="750"/>
      <c r="K90" s="750"/>
      <c r="L90" s="750"/>
      <c r="M90" s="750"/>
      <c r="N90" s="750"/>
      <c r="O90" s="750"/>
      <c r="P90" s="758"/>
    </row>
    <row r="91" spans="2:16">
      <c r="B91" s="749"/>
      <c r="C91" s="749"/>
      <c r="D91" s="750"/>
      <c r="E91" s="750"/>
      <c r="F91" s="750"/>
      <c r="G91" s="749"/>
      <c r="H91" s="750"/>
      <c r="I91" s="750"/>
      <c r="J91" s="750"/>
      <c r="K91" s="750"/>
      <c r="L91" s="750"/>
      <c r="M91" s="750"/>
      <c r="N91" s="750"/>
      <c r="O91" s="750"/>
      <c r="P91" s="758"/>
    </row>
    <row r="92" spans="2:16">
      <c r="B92" s="749"/>
      <c r="C92" s="749"/>
      <c r="D92" s="750"/>
      <c r="E92" s="750"/>
      <c r="F92" s="750"/>
      <c r="G92" s="749"/>
      <c r="H92" s="750"/>
      <c r="I92" s="750"/>
      <c r="J92" s="750"/>
      <c r="K92" s="750"/>
      <c r="L92" s="750"/>
      <c r="M92" s="750"/>
      <c r="N92" s="750"/>
      <c r="O92" s="750"/>
      <c r="P92" s="758"/>
    </row>
    <row r="93" spans="2:16">
      <c r="B93" s="749"/>
      <c r="C93" s="749"/>
      <c r="D93" s="750"/>
      <c r="E93" s="750"/>
      <c r="F93" s="750"/>
      <c r="G93" s="749"/>
      <c r="H93" s="750"/>
      <c r="I93" s="750"/>
      <c r="J93" s="750"/>
      <c r="K93" s="750"/>
      <c r="L93" s="750"/>
      <c r="M93" s="750"/>
      <c r="N93" s="750"/>
      <c r="O93" s="750"/>
      <c r="P93" s="758"/>
    </row>
    <row r="94" spans="2:16">
      <c r="B94" s="749"/>
      <c r="C94" s="749"/>
      <c r="D94" s="750"/>
      <c r="E94" s="750"/>
      <c r="G94" s="749"/>
      <c r="I94" s="750"/>
      <c r="J94" s="750"/>
      <c r="K94" s="750"/>
      <c r="L94" s="750"/>
      <c r="M94" s="750"/>
      <c r="N94" s="750"/>
      <c r="O94" s="750"/>
      <c r="P94" s="758"/>
    </row>
    <row r="95" spans="2:16">
      <c r="B95" s="749"/>
      <c r="C95" s="749"/>
      <c r="D95" s="750"/>
      <c r="E95" s="750"/>
      <c r="F95" s="750"/>
      <c r="G95" s="749"/>
      <c r="H95" s="750"/>
      <c r="I95" s="750"/>
      <c r="J95" s="750"/>
      <c r="K95" s="750"/>
      <c r="L95" s="750"/>
      <c r="M95" s="750"/>
      <c r="N95" s="750"/>
      <c r="O95" s="750"/>
      <c r="P95" s="758"/>
    </row>
    <row r="96" spans="2:16">
      <c r="B96" s="749"/>
      <c r="C96" s="749"/>
      <c r="D96" s="750"/>
      <c r="E96" s="750"/>
      <c r="F96" s="750"/>
      <c r="G96" s="749"/>
      <c r="H96" s="750"/>
      <c r="I96" s="750"/>
      <c r="J96" s="750"/>
      <c r="K96" s="750"/>
      <c r="L96" s="750"/>
      <c r="M96" s="750"/>
      <c r="N96" s="750"/>
      <c r="O96" s="750"/>
      <c r="P96" s="758"/>
    </row>
    <row r="97" spans="4:16">
      <c r="D97" s="735"/>
      <c r="E97" s="735"/>
      <c r="F97" s="735"/>
      <c r="H97" s="735"/>
      <c r="I97" s="735"/>
      <c r="J97" s="735"/>
      <c r="K97" s="735"/>
      <c r="L97" s="735"/>
      <c r="M97" s="735"/>
      <c r="N97" s="735"/>
      <c r="O97" s="735"/>
      <c r="P97" s="758"/>
    </row>
    <row r="98" spans="4:16">
      <c r="D98" s="735"/>
      <c r="E98" s="735"/>
      <c r="F98" s="736"/>
      <c r="H98" s="736"/>
      <c r="I98" s="735"/>
      <c r="J98" s="736"/>
      <c r="L98" s="736"/>
      <c r="M98" s="735"/>
      <c r="N98" s="735"/>
      <c r="O98" s="735"/>
      <c r="P98" s="758"/>
    </row>
    <row r="99" spans="4:16">
      <c r="D99" s="735"/>
      <c r="E99" s="735"/>
      <c r="F99" s="736"/>
      <c r="H99" s="736"/>
      <c r="I99" s="735"/>
      <c r="J99" s="736"/>
      <c r="L99" s="736"/>
      <c r="M99" s="735"/>
      <c r="N99" s="735"/>
      <c r="O99" s="735"/>
      <c r="P99" s="758"/>
    </row>
    <row r="100" spans="4:16">
      <c r="D100" s="735"/>
      <c r="E100" s="735"/>
      <c r="F100" s="736"/>
      <c r="H100" s="736"/>
      <c r="I100" s="736"/>
      <c r="J100" s="736"/>
      <c r="K100" s="736"/>
      <c r="L100" s="736"/>
      <c r="M100" s="736"/>
      <c r="N100" s="735"/>
      <c r="O100" s="735"/>
    </row>
    <row r="101" spans="4:16">
      <c r="D101" s="735"/>
      <c r="E101" s="735"/>
      <c r="F101" s="736"/>
      <c r="H101" s="736"/>
      <c r="I101" s="735"/>
      <c r="J101" s="736"/>
      <c r="L101" s="736"/>
      <c r="M101" s="735"/>
      <c r="N101" s="735"/>
      <c r="O101" s="735"/>
    </row>
    <row r="102" spans="4:16">
      <c r="D102" s="735"/>
      <c r="E102" s="735"/>
      <c r="F102" s="735"/>
      <c r="H102" s="735"/>
      <c r="I102" s="735"/>
      <c r="J102" s="735"/>
      <c r="K102" s="735"/>
      <c r="L102" s="735"/>
      <c r="M102" s="735"/>
      <c r="N102" s="735"/>
      <c r="O102" s="735"/>
    </row>
    <row r="103" spans="4:16">
      <c r="D103" s="735"/>
      <c r="E103" s="735"/>
      <c r="F103" s="735"/>
      <c r="H103" s="735"/>
      <c r="I103" s="735"/>
      <c r="J103" s="735"/>
      <c r="K103" s="735"/>
      <c r="L103" s="735"/>
      <c r="M103" s="735"/>
      <c r="N103" s="735"/>
      <c r="O103" s="735"/>
    </row>
    <row r="104" spans="4:16">
      <c r="D104" s="735"/>
      <c r="E104" s="735"/>
      <c r="F104" s="735"/>
      <c r="H104" s="735"/>
      <c r="I104" s="735"/>
      <c r="J104" s="735"/>
      <c r="K104" s="735"/>
      <c r="L104" s="735"/>
      <c r="M104" s="735"/>
      <c r="N104" s="735"/>
      <c r="O104" s="735"/>
    </row>
    <row r="105" spans="4:16">
      <c r="D105" s="735"/>
      <c r="E105" s="735"/>
      <c r="F105" s="735"/>
      <c r="H105" s="735"/>
      <c r="I105" s="735"/>
      <c r="J105" s="735"/>
      <c r="K105" s="735"/>
      <c r="L105" s="735"/>
      <c r="M105" s="735"/>
      <c r="N105" s="735"/>
      <c r="O105" s="735"/>
    </row>
    <row r="106" spans="4:16">
      <c r="D106" s="735"/>
      <c r="E106" s="735"/>
      <c r="F106" s="735"/>
      <c r="H106" s="735"/>
      <c r="I106" s="735"/>
      <c r="J106" s="735"/>
      <c r="K106" s="735"/>
      <c r="L106" s="735"/>
      <c r="M106" s="735"/>
      <c r="N106" s="735"/>
      <c r="O106" s="735"/>
    </row>
    <row r="107" spans="4:16">
      <c r="D107" s="735"/>
      <c r="E107" s="735"/>
      <c r="F107" s="735"/>
      <c r="H107" s="735"/>
      <c r="I107" s="735"/>
      <c r="J107" s="735"/>
      <c r="K107" s="735"/>
      <c r="L107" s="735"/>
      <c r="M107" s="735"/>
      <c r="N107" s="735"/>
      <c r="O107" s="735"/>
    </row>
    <row r="108" spans="4:16">
      <c r="D108" s="735"/>
      <c r="E108" s="735"/>
      <c r="F108" s="735"/>
      <c r="H108" s="735"/>
      <c r="I108" s="735"/>
      <c r="J108" s="735"/>
      <c r="K108" s="735"/>
      <c r="L108" s="735"/>
      <c r="M108" s="735"/>
      <c r="N108" s="735"/>
      <c r="O108" s="735"/>
    </row>
    <row r="109" spans="4:16">
      <c r="D109" s="735"/>
      <c r="E109" s="735"/>
      <c r="F109" s="735"/>
      <c r="H109" s="735"/>
      <c r="I109" s="735"/>
      <c r="J109" s="735"/>
      <c r="K109" s="735"/>
      <c r="L109" s="735"/>
      <c r="M109" s="735"/>
      <c r="N109" s="735"/>
      <c r="O109" s="735"/>
    </row>
    <row r="110" spans="4:16">
      <c r="D110" s="735"/>
      <c r="E110" s="735"/>
      <c r="F110" s="735"/>
      <c r="H110" s="735"/>
      <c r="I110" s="735"/>
      <c r="J110" s="735"/>
      <c r="K110" s="735"/>
      <c r="L110" s="735"/>
      <c r="M110" s="735"/>
      <c r="N110" s="735"/>
      <c r="O110" s="735"/>
    </row>
    <row r="111" spans="4:16">
      <c r="D111" s="735"/>
      <c r="E111" s="735"/>
      <c r="F111" s="735"/>
      <c r="H111" s="735"/>
      <c r="I111" s="735"/>
      <c r="J111" s="735"/>
      <c r="K111" s="735"/>
      <c r="L111" s="735"/>
      <c r="M111" s="735"/>
      <c r="N111" s="735"/>
      <c r="O111" s="735"/>
    </row>
    <row r="112" spans="4:16">
      <c r="D112" s="735"/>
      <c r="E112" s="735"/>
      <c r="F112" s="735"/>
      <c r="H112" s="735"/>
      <c r="I112" s="735"/>
      <c r="J112" s="735"/>
      <c r="K112" s="735"/>
      <c r="L112" s="735"/>
      <c r="M112" s="735"/>
      <c r="N112" s="735"/>
      <c r="O112" s="735"/>
    </row>
    <row r="113" spans="4:15">
      <c r="D113" s="735"/>
      <c r="E113" s="735"/>
      <c r="F113" s="735"/>
      <c r="H113" s="735"/>
      <c r="I113" s="735"/>
      <c r="J113" s="735"/>
      <c r="K113" s="735"/>
      <c r="L113" s="735"/>
      <c r="M113" s="735"/>
      <c r="N113" s="735"/>
      <c r="O113" s="735"/>
    </row>
    <row r="114" spans="4:15">
      <c r="D114" s="735"/>
      <c r="E114" s="735"/>
      <c r="F114" s="735"/>
      <c r="H114" s="735"/>
      <c r="I114" s="735"/>
      <c r="J114" s="735"/>
      <c r="K114" s="735"/>
      <c r="L114" s="735"/>
      <c r="M114" s="735"/>
      <c r="N114" s="735"/>
      <c r="O114" s="735"/>
    </row>
    <row r="115" spans="4:15">
      <c r="D115" s="735"/>
      <c r="E115" s="735"/>
      <c r="F115" s="735"/>
      <c r="H115" s="735"/>
      <c r="I115" s="735"/>
      <c r="J115" s="735"/>
      <c r="K115" s="735"/>
      <c r="L115" s="735"/>
      <c r="M115" s="735"/>
      <c r="N115" s="735"/>
      <c r="O115" s="735"/>
    </row>
    <row r="116" spans="4:15">
      <c r="D116" s="735"/>
      <c r="E116" s="735"/>
      <c r="F116" s="735"/>
      <c r="H116" s="735"/>
      <c r="I116" s="735"/>
      <c r="J116" s="735"/>
      <c r="K116" s="735"/>
      <c r="L116" s="735"/>
      <c r="M116" s="735"/>
      <c r="N116" s="735"/>
      <c r="O116" s="735"/>
    </row>
    <row r="117" spans="4:15">
      <c r="D117" s="735"/>
      <c r="E117" s="735"/>
      <c r="F117" s="735"/>
      <c r="H117" s="735"/>
      <c r="I117" s="735"/>
      <c r="J117" s="735"/>
      <c r="K117" s="735"/>
      <c r="L117" s="735"/>
      <c r="M117" s="735"/>
      <c r="N117" s="735"/>
      <c r="O117" s="735"/>
    </row>
    <row r="118" spans="4:15">
      <c r="D118" s="735"/>
      <c r="E118" s="735"/>
      <c r="F118" s="735"/>
      <c r="H118" s="735"/>
      <c r="I118" s="735"/>
      <c r="J118" s="735"/>
      <c r="K118" s="735"/>
      <c r="L118" s="735"/>
      <c r="M118" s="735"/>
      <c r="N118" s="735"/>
      <c r="O118" s="735"/>
    </row>
    <row r="119" spans="4:15">
      <c r="D119" s="735"/>
      <c r="E119" s="735"/>
      <c r="F119" s="735"/>
      <c r="H119" s="735"/>
      <c r="I119" s="735"/>
      <c r="J119" s="735"/>
      <c r="K119" s="735"/>
      <c r="L119" s="735"/>
      <c r="M119" s="735"/>
      <c r="N119" s="735"/>
      <c r="O119" s="735"/>
    </row>
    <row r="120" spans="4:15">
      <c r="D120" s="735"/>
      <c r="E120" s="735"/>
      <c r="F120" s="735"/>
      <c r="H120" s="735"/>
      <c r="I120" s="735"/>
      <c r="J120" s="735"/>
      <c r="K120" s="735"/>
      <c r="L120" s="735"/>
      <c r="M120" s="735"/>
      <c r="N120" s="735"/>
      <c r="O120" s="735"/>
    </row>
    <row r="121" spans="4:15">
      <c r="D121" s="735"/>
      <c r="E121" s="735"/>
      <c r="F121" s="735"/>
      <c r="H121" s="735"/>
      <c r="I121" s="735"/>
      <c r="J121" s="735"/>
      <c r="K121" s="735"/>
      <c r="L121" s="735"/>
      <c r="M121" s="735"/>
      <c r="N121" s="735"/>
      <c r="O121" s="735"/>
    </row>
    <row r="122" spans="4:15">
      <c r="D122" s="735"/>
      <c r="E122" s="735"/>
      <c r="F122" s="735"/>
      <c r="H122" s="735"/>
      <c r="I122" s="735"/>
      <c r="J122" s="735"/>
      <c r="K122" s="735"/>
      <c r="L122" s="735"/>
      <c r="M122" s="735"/>
      <c r="N122" s="735"/>
      <c r="O122" s="735"/>
    </row>
    <row r="123" spans="4:15">
      <c r="D123" s="735"/>
      <c r="E123" s="735"/>
      <c r="F123" s="735"/>
      <c r="H123" s="735"/>
      <c r="I123" s="735"/>
      <c r="J123" s="735"/>
      <c r="K123" s="735"/>
      <c r="L123" s="735"/>
      <c r="M123" s="735"/>
      <c r="N123" s="735"/>
      <c r="O123" s="735"/>
    </row>
    <row r="124" spans="4:15">
      <c r="D124" s="735"/>
      <c r="E124" s="735"/>
      <c r="F124" s="735"/>
      <c r="H124" s="735"/>
      <c r="I124" s="735"/>
      <c r="J124" s="735"/>
      <c r="K124" s="735"/>
      <c r="L124" s="735"/>
      <c r="M124" s="735"/>
      <c r="N124" s="735"/>
      <c r="O124" s="735"/>
    </row>
    <row r="125" spans="4:15">
      <c r="D125" s="735"/>
      <c r="E125" s="735"/>
      <c r="F125" s="735"/>
      <c r="H125" s="735"/>
      <c r="I125" s="735"/>
      <c r="J125" s="735"/>
      <c r="K125" s="735"/>
      <c r="L125" s="735"/>
      <c r="M125" s="735"/>
      <c r="N125" s="735"/>
      <c r="O125" s="735"/>
    </row>
    <row r="126" spans="4:15">
      <c r="D126" s="735"/>
      <c r="E126" s="735"/>
      <c r="F126" s="735"/>
      <c r="H126" s="735"/>
      <c r="I126" s="735"/>
      <c r="J126" s="735"/>
      <c r="K126" s="735"/>
      <c r="L126" s="735"/>
      <c r="M126" s="735"/>
      <c r="N126" s="735"/>
      <c r="O126" s="735"/>
    </row>
    <row r="127" spans="4:15">
      <c r="D127" s="735"/>
      <c r="E127" s="735"/>
      <c r="F127" s="735"/>
      <c r="H127" s="735"/>
      <c r="I127" s="735"/>
      <c r="J127" s="735"/>
      <c r="K127" s="735"/>
      <c r="L127" s="735"/>
      <c r="M127" s="735"/>
      <c r="N127" s="735"/>
      <c r="O127" s="735"/>
    </row>
    <row r="128" spans="4:15">
      <c r="D128" s="735"/>
      <c r="E128" s="735"/>
      <c r="F128" s="735"/>
      <c r="H128" s="735"/>
      <c r="I128" s="735"/>
      <c r="J128" s="735"/>
      <c r="K128" s="735"/>
      <c r="L128" s="735"/>
      <c r="M128" s="735"/>
      <c r="N128" s="735"/>
      <c r="O128" s="735"/>
    </row>
    <row r="129" spans="4:15">
      <c r="D129" s="735"/>
      <c r="E129" s="735"/>
      <c r="F129" s="735"/>
      <c r="H129" s="735"/>
      <c r="I129" s="735"/>
      <c r="J129" s="735"/>
      <c r="K129" s="735"/>
      <c r="L129" s="735"/>
      <c r="M129" s="735"/>
      <c r="N129" s="735"/>
      <c r="O129" s="735"/>
    </row>
    <row r="130" spans="4:15">
      <c r="D130" s="735"/>
      <c r="E130" s="735"/>
      <c r="F130" s="735"/>
      <c r="H130" s="735"/>
      <c r="I130" s="735"/>
      <c r="J130" s="735"/>
      <c r="K130" s="735"/>
      <c r="L130" s="735"/>
      <c r="M130" s="735"/>
      <c r="N130" s="735"/>
      <c r="O130" s="735"/>
    </row>
    <row r="131" spans="4:15">
      <c r="D131" s="735"/>
      <c r="E131" s="735"/>
      <c r="F131" s="735"/>
      <c r="H131" s="735"/>
      <c r="I131" s="735"/>
      <c r="J131" s="735"/>
      <c r="K131" s="735"/>
      <c r="L131" s="735"/>
      <c r="M131" s="735"/>
      <c r="N131" s="735"/>
      <c r="O131" s="735"/>
    </row>
    <row r="132" spans="4:15">
      <c r="D132" s="735"/>
      <c r="E132" s="735"/>
      <c r="F132" s="735"/>
      <c r="H132" s="735"/>
      <c r="I132" s="735"/>
      <c r="J132" s="735"/>
      <c r="K132" s="735"/>
      <c r="L132" s="735"/>
      <c r="M132" s="735"/>
      <c r="N132" s="735"/>
      <c r="O132" s="735"/>
    </row>
    <row r="133" spans="4:15">
      <c r="D133" s="735"/>
      <c r="E133" s="735"/>
      <c r="F133" s="735"/>
      <c r="H133" s="735"/>
      <c r="I133" s="735"/>
      <c r="J133" s="735"/>
      <c r="K133" s="735"/>
      <c r="L133" s="735"/>
      <c r="M133" s="735"/>
      <c r="N133" s="735"/>
      <c r="O133" s="735"/>
    </row>
    <row r="134" spans="4:15">
      <c r="D134" s="735"/>
      <c r="E134" s="735"/>
      <c r="F134" s="735"/>
      <c r="H134" s="735"/>
      <c r="I134" s="735"/>
      <c r="J134" s="735"/>
      <c r="K134" s="735"/>
      <c r="L134" s="735"/>
      <c r="M134" s="735"/>
      <c r="N134" s="735"/>
      <c r="O134" s="735"/>
    </row>
    <row r="135" spans="4:15">
      <c r="D135" s="735"/>
      <c r="E135" s="735"/>
      <c r="F135" s="735"/>
      <c r="H135" s="735"/>
      <c r="I135" s="735"/>
      <c r="J135" s="735"/>
      <c r="K135" s="735"/>
      <c r="L135" s="735"/>
      <c r="M135" s="735"/>
      <c r="N135" s="735"/>
      <c r="O135" s="735"/>
    </row>
    <row r="136" spans="4:15">
      <c r="D136" s="735"/>
      <c r="E136" s="735"/>
      <c r="F136" s="735"/>
      <c r="H136" s="735"/>
      <c r="I136" s="735"/>
      <c r="J136" s="735"/>
      <c r="K136" s="735"/>
      <c r="L136" s="735"/>
      <c r="M136" s="735"/>
      <c r="N136" s="735"/>
      <c r="O136" s="735"/>
    </row>
    <row r="137" spans="4:15">
      <c r="D137" s="735"/>
      <c r="E137" s="735"/>
      <c r="F137" s="735"/>
      <c r="H137" s="735"/>
      <c r="I137" s="735"/>
      <c r="J137" s="735"/>
      <c r="K137" s="735"/>
      <c r="L137" s="735"/>
      <c r="M137" s="735"/>
      <c r="N137" s="735"/>
      <c r="O137" s="735"/>
    </row>
    <row r="138" spans="4:15">
      <c r="D138" s="735"/>
      <c r="E138" s="735"/>
      <c r="F138" s="735"/>
      <c r="H138" s="735"/>
      <c r="I138" s="735"/>
      <c r="J138" s="735"/>
      <c r="K138" s="735"/>
      <c r="L138" s="735"/>
      <c r="M138" s="735"/>
      <c r="N138" s="735"/>
      <c r="O138" s="735"/>
    </row>
    <row r="139" spans="4:15">
      <c r="D139" s="735"/>
      <c r="E139" s="735"/>
      <c r="F139" s="735"/>
      <c r="H139" s="735"/>
      <c r="I139" s="735"/>
      <c r="J139" s="735"/>
      <c r="K139" s="735"/>
      <c r="L139" s="735"/>
      <c r="M139" s="735"/>
      <c r="N139" s="735"/>
      <c r="O139" s="735"/>
    </row>
    <row r="140" spans="4:15">
      <c r="D140" s="735"/>
      <c r="E140" s="735"/>
      <c r="F140" s="735"/>
      <c r="H140" s="735"/>
      <c r="I140" s="735"/>
      <c r="J140" s="735"/>
      <c r="K140" s="735"/>
      <c r="L140" s="735"/>
      <c r="M140" s="735"/>
      <c r="N140" s="735"/>
      <c r="O140" s="735"/>
    </row>
    <row r="141" spans="4:15">
      <c r="D141" s="735"/>
      <c r="E141" s="735"/>
      <c r="F141" s="735"/>
      <c r="H141" s="735"/>
      <c r="I141" s="735"/>
      <c r="J141" s="735"/>
      <c r="K141" s="735"/>
      <c r="L141" s="735"/>
      <c r="M141" s="735"/>
      <c r="N141" s="735"/>
      <c r="O141" s="735"/>
    </row>
    <row r="142" spans="4:15">
      <c r="D142" s="735"/>
      <c r="E142" s="735"/>
      <c r="F142" s="735"/>
      <c r="H142" s="735"/>
      <c r="I142" s="735"/>
      <c r="J142" s="735"/>
      <c r="K142" s="735"/>
      <c r="L142" s="735"/>
      <c r="M142" s="735"/>
      <c r="N142" s="735"/>
      <c r="O142" s="735"/>
    </row>
    <row r="143" spans="4:15">
      <c r="D143" s="735"/>
      <c r="E143" s="735"/>
      <c r="F143" s="735"/>
      <c r="H143" s="735"/>
      <c r="I143" s="735"/>
      <c r="J143" s="735"/>
      <c r="K143" s="735"/>
      <c r="L143" s="735"/>
      <c r="M143" s="735"/>
      <c r="N143" s="735"/>
      <c r="O143" s="735"/>
    </row>
    <row r="144" spans="4:15">
      <c r="D144" s="735"/>
      <c r="E144" s="735"/>
      <c r="F144" s="735"/>
      <c r="H144" s="735"/>
      <c r="I144" s="735"/>
      <c r="J144" s="735"/>
      <c r="K144" s="735"/>
      <c r="L144" s="735"/>
      <c r="M144" s="735"/>
      <c r="N144" s="735"/>
      <c r="O144" s="735"/>
    </row>
    <row r="145" spans="4:15">
      <c r="D145" s="735"/>
      <c r="E145" s="735"/>
      <c r="F145" s="735"/>
      <c r="H145" s="735"/>
      <c r="I145" s="735"/>
      <c r="J145" s="735"/>
      <c r="K145" s="735"/>
      <c r="L145" s="735"/>
      <c r="M145" s="735"/>
      <c r="N145" s="735"/>
      <c r="O145" s="735"/>
    </row>
    <row r="146" spans="4:15">
      <c r="D146" s="735"/>
      <c r="E146" s="735"/>
      <c r="F146" s="735"/>
      <c r="H146" s="735"/>
      <c r="I146" s="735"/>
      <c r="J146" s="735"/>
      <c r="K146" s="735"/>
      <c r="L146" s="735"/>
      <c r="M146" s="735"/>
      <c r="N146" s="735"/>
      <c r="O146" s="735"/>
    </row>
    <row r="147" spans="4:15">
      <c r="D147" s="735"/>
      <c r="E147" s="735"/>
      <c r="F147" s="735"/>
      <c r="H147" s="735"/>
      <c r="I147" s="735"/>
      <c r="J147" s="735"/>
      <c r="K147" s="735"/>
      <c r="L147" s="735"/>
      <c r="M147" s="735"/>
      <c r="N147" s="735"/>
      <c r="O147" s="735"/>
    </row>
    <row r="148" spans="4:15">
      <c r="D148" s="735"/>
      <c r="E148" s="735"/>
      <c r="F148" s="735"/>
      <c r="H148" s="735"/>
      <c r="I148" s="735"/>
      <c r="J148" s="735"/>
      <c r="K148" s="735"/>
      <c r="L148" s="735"/>
      <c r="M148" s="735"/>
      <c r="N148" s="735"/>
      <c r="O148" s="735"/>
    </row>
    <row r="149" spans="4:15">
      <c r="D149" s="735"/>
      <c r="E149" s="735"/>
      <c r="F149" s="735"/>
      <c r="H149" s="735"/>
      <c r="I149" s="735"/>
      <c r="J149" s="735"/>
      <c r="K149" s="735"/>
      <c r="L149" s="735"/>
      <c r="M149" s="735"/>
      <c r="N149" s="735"/>
      <c r="O149" s="735"/>
    </row>
    <row r="150" spans="4:15">
      <c r="D150" s="735"/>
      <c r="E150" s="735"/>
      <c r="F150" s="735"/>
      <c r="H150" s="735"/>
      <c r="I150" s="735"/>
      <c r="J150" s="735"/>
      <c r="K150" s="735"/>
      <c r="L150" s="735"/>
      <c r="M150" s="735"/>
      <c r="N150" s="735"/>
      <c r="O150" s="735"/>
    </row>
    <row r="151" spans="4:15">
      <c r="D151" s="735"/>
      <c r="E151" s="735"/>
      <c r="F151" s="735"/>
      <c r="H151" s="735"/>
      <c r="I151" s="735"/>
      <c r="J151" s="735"/>
      <c r="K151" s="735"/>
      <c r="L151" s="735"/>
      <c r="M151" s="735"/>
      <c r="N151" s="735"/>
      <c r="O151" s="735"/>
    </row>
    <row r="152" spans="4:15">
      <c r="D152" s="735"/>
      <c r="E152" s="735"/>
      <c r="F152" s="735"/>
      <c r="H152" s="735"/>
      <c r="I152" s="735"/>
      <c r="J152" s="735"/>
      <c r="K152" s="735"/>
      <c r="L152" s="735"/>
      <c r="M152" s="735"/>
      <c r="N152" s="735"/>
      <c r="O152" s="735"/>
    </row>
    <row r="153" spans="4:15">
      <c r="D153" s="735"/>
      <c r="E153" s="735"/>
      <c r="F153" s="735"/>
      <c r="H153" s="735"/>
      <c r="I153" s="735"/>
      <c r="J153" s="735"/>
      <c r="K153" s="735"/>
      <c r="L153" s="735"/>
      <c r="M153" s="735"/>
      <c r="N153" s="735"/>
      <c r="O153" s="735"/>
    </row>
    <row r="154" spans="4:15">
      <c r="D154" s="735"/>
      <c r="E154" s="735"/>
      <c r="F154" s="735"/>
      <c r="H154" s="735"/>
      <c r="I154" s="735"/>
      <c r="J154" s="735"/>
      <c r="K154" s="735"/>
      <c r="L154" s="735"/>
      <c r="M154" s="735"/>
      <c r="N154" s="735"/>
      <c r="O154" s="735"/>
    </row>
    <row r="155" spans="4:15">
      <c r="D155" s="735"/>
      <c r="E155" s="735"/>
      <c r="F155" s="735"/>
      <c r="H155" s="735"/>
      <c r="I155" s="735"/>
      <c r="J155" s="735"/>
      <c r="K155" s="735"/>
      <c r="L155" s="735"/>
      <c r="M155" s="735"/>
      <c r="N155" s="735"/>
      <c r="O155" s="735"/>
    </row>
    <row r="156" spans="4:15">
      <c r="D156" s="735"/>
      <c r="E156" s="735"/>
      <c r="F156" s="735"/>
      <c r="H156" s="735"/>
      <c r="I156" s="735"/>
      <c r="J156" s="735"/>
      <c r="K156" s="735"/>
      <c r="L156" s="735"/>
      <c r="M156" s="735"/>
      <c r="N156" s="735"/>
      <c r="O156" s="735"/>
    </row>
    <row r="157" spans="4:15">
      <c r="D157" s="735"/>
      <c r="E157" s="735"/>
      <c r="F157" s="735"/>
      <c r="H157" s="735"/>
      <c r="I157" s="735"/>
      <c r="J157" s="735"/>
      <c r="K157" s="735"/>
      <c r="L157" s="735"/>
      <c r="M157" s="735"/>
      <c r="N157" s="735"/>
      <c r="O157" s="735"/>
    </row>
    <row r="158" spans="4:15">
      <c r="D158" s="735"/>
      <c r="E158" s="735"/>
      <c r="F158" s="735"/>
      <c r="H158" s="735"/>
      <c r="I158" s="735"/>
      <c r="J158" s="735"/>
      <c r="K158" s="735"/>
      <c r="L158" s="735"/>
      <c r="M158" s="735"/>
      <c r="N158" s="735"/>
      <c r="O158" s="735"/>
    </row>
    <row r="159" spans="4:15">
      <c r="D159" s="735"/>
      <c r="E159" s="735"/>
      <c r="F159" s="735"/>
      <c r="H159" s="735"/>
      <c r="I159" s="735"/>
      <c r="J159" s="735"/>
      <c r="K159" s="735"/>
      <c r="L159" s="735"/>
      <c r="M159" s="735"/>
      <c r="N159" s="735"/>
      <c r="O159" s="735"/>
    </row>
    <row r="160" spans="4:15">
      <c r="D160" s="735"/>
      <c r="E160" s="735"/>
      <c r="F160" s="735"/>
      <c r="H160" s="735"/>
      <c r="I160" s="735"/>
      <c r="J160" s="735"/>
      <c r="K160" s="735"/>
      <c r="L160" s="735"/>
      <c r="M160" s="735"/>
      <c r="N160" s="735"/>
      <c r="O160" s="735"/>
    </row>
    <row r="161" spans="4:15">
      <c r="D161" s="735"/>
      <c r="E161" s="735"/>
      <c r="F161" s="735"/>
      <c r="H161" s="735"/>
      <c r="I161" s="735"/>
      <c r="J161" s="735"/>
      <c r="K161" s="735"/>
      <c r="L161" s="735"/>
      <c r="M161" s="735"/>
      <c r="N161" s="735"/>
      <c r="O161" s="735"/>
    </row>
    <row r="162" spans="4:15">
      <c r="D162" s="735"/>
      <c r="E162" s="735"/>
      <c r="F162" s="735"/>
      <c r="H162" s="735"/>
      <c r="I162" s="735"/>
      <c r="J162" s="735"/>
      <c r="K162" s="735"/>
      <c r="L162" s="735"/>
      <c r="M162" s="735"/>
      <c r="N162" s="735"/>
      <c r="O162" s="735"/>
    </row>
    <row r="163" spans="4:15">
      <c r="D163" s="735"/>
      <c r="E163" s="735"/>
      <c r="F163" s="735"/>
      <c r="H163" s="735"/>
      <c r="I163" s="735"/>
      <c r="J163" s="735"/>
      <c r="K163" s="735"/>
      <c r="L163" s="735"/>
      <c r="M163" s="735"/>
      <c r="N163" s="735"/>
      <c r="O163" s="735"/>
    </row>
    <row r="164" spans="4:15">
      <c r="D164" s="735"/>
      <c r="E164" s="735"/>
      <c r="F164" s="735"/>
      <c r="H164" s="735"/>
      <c r="I164" s="735"/>
      <c r="J164" s="735"/>
      <c r="K164" s="735"/>
      <c r="L164" s="735"/>
      <c r="M164" s="735"/>
      <c r="N164" s="735"/>
      <c r="O164" s="735"/>
    </row>
    <row r="165" spans="4:15">
      <c r="D165" s="735"/>
      <c r="E165" s="735"/>
      <c r="F165" s="735"/>
      <c r="H165" s="735"/>
      <c r="I165" s="735"/>
      <c r="J165" s="735"/>
      <c r="K165" s="735"/>
      <c r="L165" s="735"/>
      <c r="M165" s="735"/>
      <c r="N165" s="735"/>
      <c r="O165" s="735"/>
    </row>
    <row r="166" spans="4:15">
      <c r="D166" s="735"/>
      <c r="E166" s="735"/>
      <c r="F166" s="735"/>
      <c r="H166" s="735"/>
      <c r="I166" s="735"/>
      <c r="J166" s="735"/>
      <c r="K166" s="735"/>
      <c r="L166" s="735"/>
      <c r="M166" s="735"/>
      <c r="N166" s="735"/>
      <c r="O166" s="735"/>
    </row>
    <row r="167" spans="4:15">
      <c r="D167" s="735"/>
      <c r="E167" s="735"/>
      <c r="F167" s="735"/>
      <c r="H167" s="735"/>
      <c r="I167" s="735"/>
      <c r="J167" s="735"/>
      <c r="K167" s="735"/>
      <c r="L167" s="735"/>
      <c r="M167" s="735"/>
      <c r="N167" s="735"/>
      <c r="O167" s="735"/>
    </row>
    <row r="168" spans="4:15">
      <c r="D168" s="735"/>
      <c r="E168" s="735"/>
      <c r="F168" s="735"/>
      <c r="H168" s="735"/>
      <c r="I168" s="735"/>
      <c r="J168" s="735"/>
      <c r="K168" s="735"/>
      <c r="L168" s="735"/>
      <c r="M168" s="735"/>
      <c r="N168" s="735"/>
      <c r="O168" s="735"/>
    </row>
    <row r="169" spans="4:15">
      <c r="D169" s="735"/>
      <c r="E169" s="735"/>
      <c r="F169" s="735"/>
      <c r="H169" s="735"/>
      <c r="I169" s="735"/>
      <c r="J169" s="735"/>
      <c r="K169" s="735"/>
      <c r="L169" s="735"/>
      <c r="M169" s="735"/>
      <c r="N169" s="735"/>
      <c r="O169" s="735"/>
    </row>
    <row r="170" spans="4:15">
      <c r="D170" s="735"/>
      <c r="E170" s="735"/>
      <c r="F170" s="735"/>
      <c r="H170" s="735"/>
      <c r="I170" s="735"/>
      <c r="J170" s="735"/>
      <c r="K170" s="735"/>
      <c r="L170" s="735"/>
      <c r="M170" s="735"/>
      <c r="N170" s="735"/>
      <c r="O170" s="735"/>
    </row>
    <row r="171" spans="4:15">
      <c r="D171" s="735"/>
      <c r="E171" s="735"/>
      <c r="F171" s="735"/>
      <c r="H171" s="735"/>
      <c r="I171" s="735"/>
      <c r="J171" s="735"/>
      <c r="K171" s="735"/>
      <c r="L171" s="735"/>
      <c r="M171" s="735"/>
      <c r="N171" s="735"/>
      <c r="O171" s="735"/>
    </row>
    <row r="172" spans="4:15">
      <c r="D172" s="735"/>
      <c r="E172" s="735"/>
      <c r="F172" s="735"/>
      <c r="H172" s="735"/>
      <c r="I172" s="735"/>
      <c r="J172" s="735"/>
      <c r="K172" s="735"/>
      <c r="L172" s="735"/>
      <c r="M172" s="735"/>
      <c r="N172" s="735"/>
      <c r="O172" s="735"/>
    </row>
    <row r="173" spans="4:15">
      <c r="D173" s="735"/>
      <c r="E173" s="735"/>
      <c r="F173" s="735"/>
      <c r="H173" s="735"/>
      <c r="I173" s="735"/>
      <c r="J173" s="735"/>
      <c r="K173" s="735"/>
      <c r="L173" s="735"/>
      <c r="M173" s="735"/>
      <c r="N173" s="735"/>
      <c r="O173" s="735"/>
    </row>
    <row r="174" spans="4:15">
      <c r="D174" s="735"/>
      <c r="E174" s="735"/>
      <c r="F174" s="735"/>
      <c r="H174" s="735"/>
      <c r="I174" s="735"/>
      <c r="J174" s="735"/>
      <c r="K174" s="735"/>
      <c r="L174" s="735"/>
      <c r="M174" s="735"/>
      <c r="N174" s="735"/>
      <c r="O174" s="735"/>
    </row>
    <row r="175" spans="4:15">
      <c r="D175" s="735"/>
      <c r="E175" s="735"/>
      <c r="F175" s="735"/>
      <c r="H175" s="735"/>
      <c r="I175" s="735"/>
      <c r="J175" s="735"/>
      <c r="K175" s="735"/>
      <c r="L175" s="735"/>
      <c r="M175" s="735"/>
      <c r="N175" s="735"/>
      <c r="O175" s="735"/>
    </row>
    <row r="176" spans="4:15">
      <c r="D176" s="735"/>
      <c r="E176" s="735"/>
      <c r="F176" s="735"/>
      <c r="H176" s="735"/>
      <c r="I176" s="735"/>
      <c r="J176" s="735"/>
      <c r="K176" s="735"/>
      <c r="L176" s="735"/>
      <c r="M176" s="735"/>
      <c r="N176" s="735"/>
      <c r="O176" s="735"/>
    </row>
    <row r="177" spans="4:15">
      <c r="D177" s="735"/>
      <c r="E177" s="735"/>
      <c r="F177" s="735"/>
      <c r="H177" s="735"/>
      <c r="I177" s="735"/>
      <c r="J177" s="735"/>
      <c r="K177" s="735"/>
      <c r="L177" s="735"/>
      <c r="M177" s="735"/>
      <c r="N177" s="735"/>
      <c r="O177" s="735"/>
    </row>
    <row r="178" spans="4:15">
      <c r="D178" s="735"/>
      <c r="E178" s="735"/>
      <c r="F178" s="735"/>
      <c r="H178" s="735"/>
      <c r="I178" s="735"/>
      <c r="J178" s="735"/>
      <c r="K178" s="735"/>
      <c r="L178" s="735"/>
      <c r="M178" s="735"/>
      <c r="N178" s="735"/>
      <c r="O178" s="735"/>
    </row>
    <row r="179" spans="4:15">
      <c r="D179" s="735"/>
      <c r="E179" s="735"/>
      <c r="F179" s="735"/>
      <c r="H179" s="735"/>
      <c r="I179" s="735"/>
      <c r="J179" s="735"/>
      <c r="K179" s="735"/>
      <c r="L179" s="735"/>
      <c r="M179" s="735"/>
      <c r="N179" s="735"/>
      <c r="O179" s="735"/>
    </row>
  </sheetData>
  <mergeCells count="3">
    <mergeCell ref="B1:O1"/>
    <mergeCell ref="B2:N2"/>
    <mergeCell ref="C5:O5"/>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M64"/>
  <sheetViews>
    <sheetView showGridLines="0" topLeftCell="A7" workbookViewId="0">
      <selection activeCell="H36" sqref="H36"/>
    </sheetView>
  </sheetViews>
  <sheetFormatPr defaultColWidth="9.7109375" defaultRowHeight="15"/>
  <cols>
    <col min="2" max="2" width="9" customWidth="1"/>
    <col min="3" max="3" width="13.140625" customWidth="1"/>
    <col min="4" max="4" width="3.140625" customWidth="1"/>
    <col min="5" max="5" width="10.7109375" customWidth="1"/>
    <col min="6" max="6" width="3.140625" customWidth="1"/>
    <col min="7" max="7" width="10.7109375" customWidth="1"/>
    <col min="8" max="8" width="3.140625" customWidth="1"/>
    <col min="10" max="10" width="3.140625" customWidth="1"/>
    <col min="11" max="11" width="10.7109375" customWidth="1"/>
    <col min="12" max="13" width="3.140625" customWidth="1"/>
  </cols>
  <sheetData>
    <row r="1" spans="1:13" ht="18" customHeight="1">
      <c r="B1" s="1081" t="s">
        <v>391</v>
      </c>
      <c r="C1" s="1081"/>
      <c r="D1" s="1081"/>
      <c r="E1" s="1081"/>
      <c r="F1" s="1081"/>
      <c r="G1" s="1081"/>
      <c r="H1" s="1081"/>
      <c r="I1" s="1081"/>
      <c r="J1" s="1081"/>
      <c r="K1" s="1081"/>
      <c r="L1" s="1081"/>
      <c r="M1" s="760"/>
    </row>
    <row r="2" spans="1:13" ht="16.5" customHeight="1">
      <c r="B2" s="761" t="s">
        <v>378</v>
      </c>
      <c r="C2" s="761"/>
      <c r="D2" s="761"/>
      <c r="E2" s="762"/>
      <c r="F2" s="762"/>
      <c r="G2" s="762"/>
      <c r="H2" s="762"/>
      <c r="I2" s="762"/>
      <c r="J2" s="762"/>
      <c r="K2" s="762"/>
      <c r="L2" s="762"/>
      <c r="M2" s="762"/>
    </row>
    <row r="3" spans="1:13">
      <c r="A3" s="637"/>
      <c r="B3" s="763"/>
      <c r="C3" s="763"/>
      <c r="D3" s="763"/>
      <c r="E3" s="1082"/>
      <c r="F3" s="1082"/>
      <c r="G3" s="1082"/>
      <c r="H3" s="1082"/>
      <c r="I3" s="1082"/>
      <c r="J3" s="1082"/>
      <c r="K3" s="1082"/>
      <c r="L3" s="1082"/>
      <c r="M3" s="764"/>
    </row>
    <row r="4" spans="1:13" ht="16.5" customHeight="1">
      <c r="B4" s="765" t="s">
        <v>379</v>
      </c>
      <c r="C4" s="1083" t="s">
        <v>392</v>
      </c>
      <c r="D4" s="1084"/>
      <c r="E4" s="1084"/>
      <c r="F4" s="1084"/>
      <c r="G4" s="1084"/>
      <c r="H4" s="1084"/>
      <c r="I4" s="1084"/>
      <c r="J4" s="1084"/>
      <c r="K4" s="1084"/>
      <c r="L4" s="1085"/>
      <c r="M4" s="764"/>
    </row>
    <row r="5" spans="1:13" ht="14.25" customHeight="1">
      <c r="B5" s="766" t="s">
        <v>311</v>
      </c>
      <c r="C5" s="767" t="s">
        <v>393</v>
      </c>
      <c r="D5" s="767"/>
      <c r="E5" s="768" t="s">
        <v>47</v>
      </c>
      <c r="F5" s="769"/>
      <c r="G5" s="768" t="s">
        <v>48</v>
      </c>
      <c r="H5" s="769"/>
      <c r="I5" s="768" t="s">
        <v>49</v>
      </c>
      <c r="J5" s="769"/>
      <c r="K5" s="768" t="s">
        <v>50</v>
      </c>
      <c r="L5" s="770"/>
      <c r="M5" s="771"/>
    </row>
    <row r="6" spans="1:13" ht="15" customHeight="1">
      <c r="B6" s="773">
        <v>1998</v>
      </c>
      <c r="C6" s="774">
        <v>1</v>
      </c>
      <c r="D6" s="775"/>
      <c r="E6" s="778">
        <v>0.12729599999999999</v>
      </c>
      <c r="F6" s="778"/>
      <c r="G6" s="778">
        <v>0.33920299999999998</v>
      </c>
      <c r="H6" s="778"/>
      <c r="I6" s="778">
        <v>6.8739999999999996E-2</v>
      </c>
      <c r="J6" s="778"/>
      <c r="K6" s="778">
        <v>0.46476099999999998</v>
      </c>
      <c r="L6" s="777"/>
      <c r="M6" s="776"/>
    </row>
    <row r="7" spans="1:13" ht="15" customHeight="1">
      <c r="B7" s="773">
        <v>1999</v>
      </c>
      <c r="C7" s="774">
        <v>1</v>
      </c>
      <c r="D7" s="775"/>
      <c r="E7" s="778">
        <v>0.129611</v>
      </c>
      <c r="F7" s="778"/>
      <c r="G7" s="778">
        <v>0.33219799999999999</v>
      </c>
      <c r="H7" s="778"/>
      <c r="I7" s="778">
        <v>7.0760000000000003E-2</v>
      </c>
      <c r="J7" s="778"/>
      <c r="K7" s="778">
        <v>0.46743099999999999</v>
      </c>
      <c r="L7" s="777"/>
      <c r="M7" s="776"/>
    </row>
    <row r="8" spans="1:13" ht="15" customHeight="1">
      <c r="B8" s="773">
        <v>2000</v>
      </c>
      <c r="C8" s="774">
        <v>1</v>
      </c>
      <c r="D8" s="775"/>
      <c r="E8" s="778">
        <v>0.132574</v>
      </c>
      <c r="F8" s="778"/>
      <c r="G8" s="778">
        <v>0.34081600000000001</v>
      </c>
      <c r="H8" s="778"/>
      <c r="I8" s="778">
        <v>7.4291999999999997E-2</v>
      </c>
      <c r="J8" s="778"/>
      <c r="K8" s="778">
        <v>0.452318</v>
      </c>
      <c r="L8" s="777"/>
      <c r="M8" s="776"/>
    </row>
    <row r="9" spans="1:13" ht="15" customHeight="1">
      <c r="B9" s="773">
        <v>2001</v>
      </c>
      <c r="C9" s="774">
        <v>1</v>
      </c>
      <c r="D9" s="775"/>
      <c r="E9" s="778">
        <v>0.13497899999999999</v>
      </c>
      <c r="F9" s="778"/>
      <c r="G9" s="778">
        <v>0.34501500000000002</v>
      </c>
      <c r="H9" s="778"/>
      <c r="I9" s="778">
        <v>7.6303999999999997E-2</v>
      </c>
      <c r="J9" s="778"/>
      <c r="K9" s="778">
        <v>0.44370199999999999</v>
      </c>
      <c r="L9" s="777"/>
      <c r="M9" s="776"/>
    </row>
    <row r="10" spans="1:13" ht="15" customHeight="1">
      <c r="B10" s="773">
        <v>2002</v>
      </c>
      <c r="C10" s="774">
        <v>1</v>
      </c>
      <c r="D10" s="775"/>
      <c r="E10" s="778">
        <v>0.13646800000000001</v>
      </c>
      <c r="F10" s="778"/>
      <c r="G10" s="778">
        <v>0.34943800000000003</v>
      </c>
      <c r="H10" s="778"/>
      <c r="I10" s="778">
        <v>7.4250999999999998E-2</v>
      </c>
      <c r="J10" s="778"/>
      <c r="K10" s="778">
        <v>0.43984299999999998</v>
      </c>
      <c r="L10" s="777"/>
      <c r="M10" s="776"/>
    </row>
    <row r="11" spans="1:13" ht="15" customHeight="1">
      <c r="B11" s="773">
        <v>2003</v>
      </c>
      <c r="C11" s="774">
        <v>1</v>
      </c>
      <c r="D11" s="775"/>
      <c r="E11" s="778">
        <v>0.13872300000000001</v>
      </c>
      <c r="F11" s="778"/>
      <c r="G11" s="778">
        <v>0.349165</v>
      </c>
      <c r="H11" s="778"/>
      <c r="I11" s="778">
        <v>7.4096999999999996E-2</v>
      </c>
      <c r="J11" s="778"/>
      <c r="K11" s="778">
        <v>0.43801499999999999</v>
      </c>
      <c r="L11" s="777"/>
      <c r="M11" s="776"/>
    </row>
    <row r="12" spans="1:13" ht="15" customHeight="1">
      <c r="B12" s="773">
        <v>2004</v>
      </c>
      <c r="C12" s="774">
        <v>1</v>
      </c>
      <c r="D12" s="775"/>
      <c r="E12" s="778">
        <v>0.140902</v>
      </c>
      <c r="F12" s="778"/>
      <c r="G12" s="778">
        <v>0.35562899999999997</v>
      </c>
      <c r="H12" s="778"/>
      <c r="I12" s="778">
        <v>7.1175000000000002E-2</v>
      </c>
      <c r="J12" s="778"/>
      <c r="K12" s="778">
        <v>0.43229400000000001</v>
      </c>
      <c r="L12" s="777"/>
      <c r="M12" s="776"/>
    </row>
    <row r="13" spans="1:13" ht="15" customHeight="1">
      <c r="B13" s="773">
        <v>2005</v>
      </c>
      <c r="C13" s="774">
        <v>1</v>
      </c>
      <c r="D13" s="775"/>
      <c r="E13" s="778">
        <v>0.14685400000000001</v>
      </c>
      <c r="F13" s="779"/>
      <c r="G13" s="778">
        <v>0.34872399999999998</v>
      </c>
      <c r="H13" s="779"/>
      <c r="I13" s="778">
        <v>7.3901999999999995E-2</v>
      </c>
      <c r="J13" s="779"/>
      <c r="K13" s="778">
        <v>0.43052000000000001</v>
      </c>
      <c r="L13" s="704"/>
    </row>
    <row r="14" spans="1:13" ht="15" customHeight="1">
      <c r="B14" s="773">
        <v>2006</v>
      </c>
      <c r="C14" s="774">
        <v>1</v>
      </c>
      <c r="D14" s="775"/>
      <c r="E14" s="778">
        <v>0.14946100000000001</v>
      </c>
      <c r="F14" s="779"/>
      <c r="G14" s="778">
        <v>0.35429500000000003</v>
      </c>
      <c r="H14" s="779"/>
      <c r="I14" s="778">
        <v>7.6565999999999995E-2</v>
      </c>
      <c r="J14" s="779"/>
      <c r="K14" s="778">
        <v>0.419678</v>
      </c>
      <c r="L14" s="704"/>
    </row>
    <row r="15" spans="1:13" ht="15" customHeight="1">
      <c r="B15" s="773">
        <v>2007</v>
      </c>
      <c r="C15" s="774">
        <v>1</v>
      </c>
      <c r="D15" s="775"/>
      <c r="E15" s="778">
        <v>0.15229799999999999</v>
      </c>
      <c r="F15" s="779"/>
      <c r="G15" s="778">
        <v>0.36510500000000001</v>
      </c>
      <c r="H15" s="779"/>
      <c r="I15" s="778">
        <v>7.6276999999999998E-2</v>
      </c>
      <c r="J15" s="779"/>
      <c r="K15" s="778">
        <v>0.40632000000000001</v>
      </c>
      <c r="L15" s="704"/>
    </row>
    <row r="16" spans="1:13" ht="15" customHeight="1">
      <c r="B16" s="773">
        <v>2008</v>
      </c>
      <c r="C16" s="487">
        <v>1</v>
      </c>
      <c r="D16" s="493"/>
      <c r="E16" s="780">
        <v>0.15118100000000001</v>
      </c>
      <c r="F16" s="781"/>
      <c r="G16" s="782">
        <v>0.36718499999999998</v>
      </c>
      <c r="H16" s="781"/>
      <c r="I16" s="782">
        <v>7.0359000000000005E-2</v>
      </c>
      <c r="J16" s="782"/>
      <c r="K16" s="782">
        <v>0.411275</v>
      </c>
      <c r="L16" s="783"/>
      <c r="M16" s="281"/>
    </row>
    <row r="17" spans="2:13" ht="15" customHeight="1">
      <c r="B17" s="773">
        <v>2009</v>
      </c>
      <c r="C17" s="487">
        <v>1</v>
      </c>
      <c r="D17" s="493"/>
      <c r="E17" s="780">
        <v>0.149557</v>
      </c>
      <c r="F17" s="781"/>
      <c r="G17" s="782">
        <v>0.372143</v>
      </c>
      <c r="H17" s="781"/>
      <c r="I17" s="782">
        <v>7.3186000000000001E-2</v>
      </c>
      <c r="J17" s="782"/>
      <c r="K17" s="782">
        <v>0.40511399999999997</v>
      </c>
      <c r="L17" s="783"/>
      <c r="M17" s="281"/>
    </row>
    <row r="18" spans="2:13" ht="15" customHeight="1">
      <c r="B18" s="773">
        <v>2010</v>
      </c>
      <c r="C18" s="487">
        <v>1</v>
      </c>
      <c r="D18" s="493"/>
      <c r="E18" s="780">
        <v>0.148231</v>
      </c>
      <c r="F18" s="781"/>
      <c r="G18" s="782">
        <v>0.37467200000000001</v>
      </c>
      <c r="H18" s="781"/>
      <c r="I18" s="782">
        <v>7.5717000000000007E-2</v>
      </c>
      <c r="J18" s="782"/>
      <c r="K18" s="782">
        <v>0.40138000000000001</v>
      </c>
      <c r="L18" s="783"/>
      <c r="M18" s="281"/>
    </row>
    <row r="19" spans="2:13" ht="15" customHeight="1">
      <c r="B19" s="773">
        <v>2011</v>
      </c>
      <c r="C19" s="487">
        <v>1</v>
      </c>
      <c r="D19" s="493"/>
      <c r="E19" s="780">
        <v>0.150922</v>
      </c>
      <c r="F19" s="781"/>
      <c r="G19" s="782">
        <v>0.37417499999999998</v>
      </c>
      <c r="H19" s="781"/>
      <c r="I19" s="782">
        <v>7.6075000000000004E-2</v>
      </c>
      <c r="J19" s="782"/>
      <c r="K19" s="782">
        <v>0.39882800000000002</v>
      </c>
      <c r="L19" s="783"/>
      <c r="M19" s="281"/>
    </row>
    <row r="20" spans="2:13" ht="15" customHeight="1">
      <c r="B20" s="773">
        <v>2012</v>
      </c>
      <c r="C20" s="487">
        <v>1</v>
      </c>
      <c r="D20" s="493"/>
      <c r="E20" s="780">
        <v>0.15385199999999999</v>
      </c>
      <c r="F20" s="781"/>
      <c r="G20" s="782">
        <v>0.37806400000000001</v>
      </c>
      <c r="H20" s="781"/>
      <c r="I20" s="782">
        <v>7.0337999999999998E-2</v>
      </c>
      <c r="J20" s="782"/>
      <c r="K20" s="782">
        <v>0.39774599999999999</v>
      </c>
      <c r="L20" s="783"/>
      <c r="M20" s="281"/>
    </row>
    <row r="21" spans="2:13" ht="15" customHeight="1">
      <c r="B21" s="773">
        <v>2013</v>
      </c>
      <c r="C21" s="487">
        <v>1</v>
      </c>
      <c r="D21" s="493"/>
      <c r="E21" s="780">
        <v>0.15461900000000001</v>
      </c>
      <c r="F21" s="781"/>
      <c r="G21" s="782">
        <v>0.36966300000000002</v>
      </c>
      <c r="H21" s="781"/>
      <c r="I21" s="782">
        <v>7.0332000000000006E-2</v>
      </c>
      <c r="J21" s="782"/>
      <c r="K21" s="782">
        <v>0.40538600000000002</v>
      </c>
      <c r="L21" s="783"/>
      <c r="M21" s="281"/>
    </row>
    <row r="22" spans="2:13" ht="15" customHeight="1">
      <c r="B22" s="773">
        <v>2014</v>
      </c>
      <c r="C22" s="487">
        <v>1</v>
      </c>
      <c r="D22" s="493"/>
      <c r="E22" s="780">
        <v>0.154894</v>
      </c>
      <c r="F22" s="781"/>
      <c r="G22" s="782">
        <v>0.36752299999999999</v>
      </c>
      <c r="H22" s="781"/>
      <c r="I22" s="782">
        <v>6.8468000000000001E-2</v>
      </c>
      <c r="J22" s="782"/>
      <c r="K22" s="782">
        <v>0.40911500000000001</v>
      </c>
      <c r="L22" s="783"/>
      <c r="M22" s="281"/>
    </row>
    <row r="23" spans="2:13" ht="15" customHeight="1">
      <c r="B23" s="773">
        <v>2015</v>
      </c>
      <c r="C23" s="487">
        <v>1</v>
      </c>
      <c r="D23" s="493"/>
      <c r="E23" s="780">
        <v>0.150728</v>
      </c>
      <c r="F23" s="781"/>
      <c r="G23" s="782">
        <v>0.36182300000000001</v>
      </c>
      <c r="H23" s="781"/>
      <c r="I23" s="782">
        <v>6.0842E-2</v>
      </c>
      <c r="J23" s="782"/>
      <c r="K23" s="782">
        <v>0.42660700000000001</v>
      </c>
      <c r="L23" s="783"/>
      <c r="M23" s="281"/>
    </row>
    <row r="24" spans="2:13" ht="15" customHeight="1">
      <c r="B24" s="773">
        <v>2016</v>
      </c>
      <c r="C24" s="487">
        <v>1</v>
      </c>
      <c r="D24" s="493"/>
      <c r="E24" s="780">
        <v>0.15032100000000001</v>
      </c>
      <c r="F24" s="781"/>
      <c r="G24" s="782">
        <v>0.36548599999999998</v>
      </c>
      <c r="H24" s="781"/>
      <c r="I24" s="782">
        <v>6.0352999999999997E-2</v>
      </c>
      <c r="J24" s="782"/>
      <c r="K24" s="782">
        <v>0.42383999999999999</v>
      </c>
      <c r="L24" s="783"/>
      <c r="M24" s="281"/>
    </row>
    <row r="25" spans="2:13" ht="15" customHeight="1">
      <c r="B25" s="784">
        <v>2017</v>
      </c>
      <c r="C25" s="785">
        <v>1</v>
      </c>
      <c r="D25" s="494"/>
      <c r="E25" s="786">
        <v>0.148922</v>
      </c>
      <c r="F25" s="787"/>
      <c r="G25" s="788">
        <v>0.37259100000000001</v>
      </c>
      <c r="H25" s="787"/>
      <c r="I25" s="788">
        <v>6.0206999999999997E-2</v>
      </c>
      <c r="J25" s="788"/>
      <c r="K25" s="788">
        <v>0.41827999999999999</v>
      </c>
      <c r="L25" s="789"/>
      <c r="M25" s="281"/>
    </row>
    <row r="26" spans="2:13" ht="15" customHeight="1">
      <c r="B26" s="281"/>
      <c r="C26" s="281"/>
      <c r="D26" s="281"/>
      <c r="E26" s="281"/>
      <c r="F26" s="281"/>
      <c r="G26" s="281"/>
      <c r="H26" s="256"/>
      <c r="I26" s="281"/>
      <c r="J26" s="281"/>
      <c r="K26" s="281"/>
      <c r="L26" s="281"/>
      <c r="M26" s="281"/>
    </row>
    <row r="27" spans="2:13" ht="16.5" customHeight="1">
      <c r="B27" s="765" t="s">
        <v>379</v>
      </c>
      <c r="C27" s="1083" t="s">
        <v>394</v>
      </c>
      <c r="D27" s="1084"/>
      <c r="E27" s="1084"/>
      <c r="F27" s="1084"/>
      <c r="G27" s="1084"/>
      <c r="H27" s="1084"/>
      <c r="I27" s="1084"/>
      <c r="J27" s="1084"/>
      <c r="K27" s="1084"/>
      <c r="L27" s="1085"/>
      <c r="M27" s="775"/>
    </row>
    <row r="28" spans="2:13" ht="15" customHeight="1">
      <c r="B28" s="784" t="s">
        <v>311</v>
      </c>
      <c r="C28" s="790" t="s">
        <v>393</v>
      </c>
      <c r="D28" s="790"/>
      <c r="E28" s="791" t="s">
        <v>47</v>
      </c>
      <c r="F28" s="792"/>
      <c r="G28" s="791" t="s">
        <v>48</v>
      </c>
      <c r="H28" s="792"/>
      <c r="I28" s="791" t="s">
        <v>49</v>
      </c>
      <c r="J28" s="792"/>
      <c r="K28" s="791" t="s">
        <v>50</v>
      </c>
      <c r="L28" s="793"/>
      <c r="M28" s="256"/>
    </row>
    <row r="29" spans="2:13" ht="15" customHeight="1">
      <c r="B29" s="773">
        <v>1998</v>
      </c>
      <c r="C29" s="795">
        <v>7890.421828999999</v>
      </c>
      <c r="D29" s="775"/>
      <c r="E29" s="795">
        <v>1004.4191371443839</v>
      </c>
      <c r="F29" s="795"/>
      <c r="G29" s="795">
        <v>2676.454755662287</v>
      </c>
      <c r="H29" s="795"/>
      <c r="I29" s="795">
        <v>542.38759652546003</v>
      </c>
      <c r="J29" s="795"/>
      <c r="K29" s="795">
        <v>3667.1603396678688</v>
      </c>
      <c r="L29" s="701"/>
      <c r="M29" s="795"/>
    </row>
    <row r="30" spans="2:13" ht="15" customHeight="1">
      <c r="B30" s="773">
        <v>1999</v>
      </c>
      <c r="C30" s="795">
        <v>8099.3364829999991</v>
      </c>
      <c r="D30" s="775"/>
      <c r="E30" s="795">
        <v>1049.763100898113</v>
      </c>
      <c r="F30" s="795"/>
      <c r="G30" s="795">
        <v>2690.5833809796336</v>
      </c>
      <c r="H30" s="795"/>
      <c r="I30" s="795">
        <v>573.10904953708007</v>
      </c>
      <c r="J30" s="795"/>
      <c r="K30" s="795">
        <v>3785.8809515851726</v>
      </c>
      <c r="L30" s="701"/>
      <c r="M30" s="795"/>
    </row>
    <row r="31" spans="2:13" ht="15" customHeight="1">
      <c r="B31" s="773">
        <v>2000</v>
      </c>
      <c r="C31" s="795">
        <v>8374.3009590000001</v>
      </c>
      <c r="D31" s="775"/>
      <c r="E31" s="795">
        <v>1110.2145753384659</v>
      </c>
      <c r="F31" s="795"/>
      <c r="G31" s="795">
        <v>2854.0957556425442</v>
      </c>
      <c r="H31" s="795"/>
      <c r="I31" s="795">
        <v>622.14356684602797</v>
      </c>
      <c r="J31" s="795"/>
      <c r="K31" s="795">
        <v>3787.8470611729622</v>
      </c>
      <c r="L31" s="701"/>
      <c r="M31" s="795"/>
    </row>
    <row r="32" spans="2:13" ht="15" customHeight="1">
      <c r="B32" s="773">
        <v>2001</v>
      </c>
      <c r="C32" s="795">
        <v>8730.2637119999999</v>
      </c>
      <c r="D32" s="775"/>
      <c r="E32" s="795">
        <v>1178.4022655820479</v>
      </c>
      <c r="F32" s="795"/>
      <c r="G32" s="795">
        <v>3012.0719345956804</v>
      </c>
      <c r="H32" s="795"/>
      <c r="I32" s="795">
        <v>666.15404228044792</v>
      </c>
      <c r="J32" s="795"/>
      <c r="K32" s="795">
        <v>3873.635469541824</v>
      </c>
      <c r="L32" s="701"/>
      <c r="M32" s="795"/>
    </row>
    <row r="33" spans="2:13" ht="15" customHeight="1">
      <c r="B33" s="773">
        <v>2002</v>
      </c>
      <c r="C33" s="795">
        <v>9271.2384849999999</v>
      </c>
      <c r="D33" s="775"/>
      <c r="E33" s="795">
        <v>1265.22737357098</v>
      </c>
      <c r="F33" s="795"/>
      <c r="G33" s="795">
        <v>3239.7230337214305</v>
      </c>
      <c r="H33" s="795"/>
      <c r="I33" s="795">
        <v>688.39872874973503</v>
      </c>
      <c r="J33" s="795"/>
      <c r="K33" s="795">
        <v>4077.889348957855</v>
      </c>
      <c r="L33" s="701"/>
      <c r="M33" s="795"/>
    </row>
    <row r="34" spans="2:13" ht="15" customHeight="1">
      <c r="B34" s="773">
        <v>2003</v>
      </c>
      <c r="C34" s="795">
        <v>10688.76734</v>
      </c>
      <c r="D34" s="775"/>
      <c r="E34" s="795">
        <v>1482.7778717068202</v>
      </c>
      <c r="F34" s="795"/>
      <c r="G34" s="795">
        <v>3732.1434482711002</v>
      </c>
      <c r="H34" s="795"/>
      <c r="I34" s="795">
        <v>792.00559359197996</v>
      </c>
      <c r="J34" s="795"/>
      <c r="K34" s="795">
        <v>4681.8404264300998</v>
      </c>
      <c r="L34" s="701"/>
      <c r="M34" s="795"/>
    </row>
    <row r="35" spans="2:13" ht="15" customHeight="1">
      <c r="B35" s="773">
        <v>2004</v>
      </c>
      <c r="C35" s="795">
        <v>12250.660984000002</v>
      </c>
      <c r="D35" s="775"/>
      <c r="E35" s="795">
        <v>1726.1426339675679</v>
      </c>
      <c r="F35" s="795"/>
      <c r="G35" s="795">
        <v>4356.6903150789358</v>
      </c>
      <c r="H35" s="795"/>
      <c r="I35" s="795">
        <v>871.94079553620008</v>
      </c>
      <c r="J35" s="795"/>
      <c r="K35" s="795">
        <v>5295.8872394172968</v>
      </c>
      <c r="L35" s="701"/>
      <c r="M35" s="795"/>
    </row>
    <row r="36" spans="2:13" ht="15" customHeight="1">
      <c r="B36" s="773">
        <v>2005</v>
      </c>
      <c r="C36" s="795">
        <v>12720.04853</v>
      </c>
      <c r="D36" s="775"/>
      <c r="E36" s="795">
        <v>1867.9900068246202</v>
      </c>
      <c r="F36" s="795"/>
      <c r="G36" s="795">
        <v>4435.7862035757198</v>
      </c>
      <c r="H36" s="795"/>
      <c r="I36" s="795">
        <v>940.03702646405998</v>
      </c>
      <c r="J36" s="795"/>
      <c r="K36" s="795">
        <v>5476.2352931355999</v>
      </c>
      <c r="L36" s="701"/>
      <c r="M36" s="795"/>
    </row>
    <row r="37" spans="2:13" ht="15" customHeight="1">
      <c r="B37" s="773">
        <v>2006</v>
      </c>
      <c r="C37" s="795">
        <v>13668.121226000001</v>
      </c>
      <c r="D37" s="775"/>
      <c r="E37" s="795">
        <v>2042.8510665591862</v>
      </c>
      <c r="F37" s="795"/>
      <c r="G37" s="795">
        <v>4842.5470097656707</v>
      </c>
      <c r="H37" s="795"/>
      <c r="I37" s="795">
        <v>1046.5133697899159</v>
      </c>
      <c r="J37" s="795"/>
      <c r="K37" s="795">
        <v>5736.2097798852283</v>
      </c>
      <c r="L37" s="701"/>
      <c r="M37" s="795"/>
    </row>
    <row r="38" spans="2:13" ht="15" customHeight="1">
      <c r="B38" s="773">
        <v>2007</v>
      </c>
      <c r="C38" s="795">
        <v>14291.212164</v>
      </c>
      <c r="D38" s="775"/>
      <c r="E38" s="795">
        <v>2176.5230301528718</v>
      </c>
      <c r="F38" s="795"/>
      <c r="G38" s="795">
        <v>5217.79301713722</v>
      </c>
      <c r="H38" s="795"/>
      <c r="I38" s="795">
        <v>1090.0907902334279</v>
      </c>
      <c r="J38" s="795"/>
      <c r="K38" s="795">
        <v>5806.8053264764803</v>
      </c>
      <c r="L38" s="701"/>
      <c r="M38" s="795"/>
    </row>
    <row r="39" spans="2:13" ht="15" customHeight="1">
      <c r="B39" s="445">
        <v>2008</v>
      </c>
      <c r="C39" s="699">
        <v>14356.326836</v>
      </c>
      <c r="D39" s="493"/>
      <c r="E39" s="699">
        <v>2170.3887292933164</v>
      </c>
      <c r="F39" s="699"/>
      <c r="G39" s="699">
        <v>5271.3911507766597</v>
      </c>
      <c r="H39" s="699"/>
      <c r="I39" s="699">
        <v>1010.0897639541241</v>
      </c>
      <c r="J39" s="699"/>
      <c r="K39" s="699">
        <v>5904.3571919758997</v>
      </c>
      <c r="L39" s="701"/>
      <c r="M39" s="699"/>
    </row>
    <row r="40" spans="2:13" ht="15" customHeight="1">
      <c r="B40" s="445">
        <v>2009</v>
      </c>
      <c r="C40" s="699">
        <v>15903.485473000001</v>
      </c>
      <c r="D40" s="493"/>
      <c r="E40" s="699">
        <v>2378.4775768854611</v>
      </c>
      <c r="F40" s="699"/>
      <c r="G40" s="699">
        <v>5918.3707943786394</v>
      </c>
      <c r="H40" s="699"/>
      <c r="I40" s="699">
        <v>1163.9124878269779</v>
      </c>
      <c r="J40" s="699"/>
      <c r="K40" s="699">
        <v>6442.7246139089211</v>
      </c>
      <c r="L40" s="701"/>
      <c r="M40" s="699"/>
    </row>
    <row r="41" spans="2:13" ht="15" customHeight="1">
      <c r="B41" s="445">
        <v>2010</v>
      </c>
      <c r="C41" s="699">
        <v>17588.124488000001</v>
      </c>
      <c r="D41" s="493"/>
      <c r="E41" s="699">
        <v>2607.1052809807284</v>
      </c>
      <c r="F41" s="699"/>
      <c r="G41" s="699">
        <v>6589.777778167936</v>
      </c>
      <c r="H41" s="699"/>
      <c r="I41" s="699">
        <v>1331.7200218578962</v>
      </c>
      <c r="J41" s="699"/>
      <c r="K41" s="699">
        <v>7059.5214069934409</v>
      </c>
      <c r="L41" s="701"/>
      <c r="M41" s="699"/>
    </row>
    <row r="42" spans="2:13" ht="15" customHeight="1">
      <c r="B42" s="456">
        <v>2011</v>
      </c>
      <c r="C42" s="699">
        <v>18323.789139</v>
      </c>
      <c r="D42" s="492"/>
      <c r="E42" s="699">
        <v>2765.4478122361579</v>
      </c>
      <c r="F42" s="699"/>
      <c r="G42" s="699">
        <v>6856.2663835853245</v>
      </c>
      <c r="H42" s="699"/>
      <c r="I42" s="699">
        <v>1393.9746512494253</v>
      </c>
      <c r="J42" s="699"/>
      <c r="K42" s="699">
        <v>7308.1002919290931</v>
      </c>
      <c r="L42" s="701"/>
      <c r="M42" s="699"/>
    </row>
    <row r="43" spans="2:13" ht="15" customHeight="1">
      <c r="B43" s="456">
        <v>2012</v>
      </c>
      <c r="C43" s="699">
        <v>19284.547839999999</v>
      </c>
      <c r="D43" s="492"/>
      <c r="E43" s="699">
        <v>2966.9662542796796</v>
      </c>
      <c r="F43" s="699"/>
      <c r="G43" s="699">
        <v>7290.7932945817602</v>
      </c>
      <c r="H43" s="699"/>
      <c r="I43" s="699">
        <v>1356.43652596992</v>
      </c>
      <c r="J43" s="699"/>
      <c r="K43" s="699">
        <v>7670.3517651686398</v>
      </c>
      <c r="L43" s="701"/>
      <c r="M43" s="699"/>
    </row>
    <row r="44" spans="2:13" ht="15" customHeight="1">
      <c r="B44" s="456">
        <v>2013</v>
      </c>
      <c r="C44" s="699">
        <v>20133.086050000002</v>
      </c>
      <c r="D44" s="492"/>
      <c r="E44" s="699">
        <v>3112.95763196495</v>
      </c>
      <c r="F44" s="699"/>
      <c r="G44" s="699">
        <v>7442.4569885011497</v>
      </c>
      <c r="H44" s="699"/>
      <c r="I44" s="699">
        <v>1416.0002080686002</v>
      </c>
      <c r="J44" s="699"/>
      <c r="K44" s="699">
        <v>8161.6712214653007</v>
      </c>
      <c r="L44" s="701"/>
      <c r="M44" s="699"/>
    </row>
    <row r="45" spans="2:13" ht="15" customHeight="1">
      <c r="B45" s="456">
        <v>2014</v>
      </c>
      <c r="C45" s="699">
        <v>21285.240680999999</v>
      </c>
      <c r="D45" s="492"/>
      <c r="E45" s="699">
        <v>3296.9560700428142</v>
      </c>
      <c r="F45" s="699"/>
      <c r="G45" s="699">
        <v>7822.8155108031624</v>
      </c>
      <c r="H45" s="699"/>
      <c r="I45" s="699">
        <v>1457.3578589467079</v>
      </c>
      <c r="J45" s="699"/>
      <c r="K45" s="699">
        <v>8708.1112412073162</v>
      </c>
      <c r="L45" s="701"/>
      <c r="M45" s="699"/>
    </row>
    <row r="46" spans="2:13" ht="15" customHeight="1">
      <c r="B46" s="456">
        <v>2015</v>
      </c>
      <c r="C46" s="699">
        <v>22591.529495000002</v>
      </c>
      <c r="D46" s="492"/>
      <c r="E46" s="699">
        <v>3405.1760577223599</v>
      </c>
      <c r="F46" s="699"/>
      <c r="G46" s="699">
        <v>8174.134976469385</v>
      </c>
      <c r="H46" s="699"/>
      <c r="I46" s="699">
        <v>1374.5138375347901</v>
      </c>
      <c r="J46" s="699"/>
      <c r="K46" s="699">
        <v>9637.7046232734665</v>
      </c>
      <c r="L46" s="701"/>
      <c r="M46" s="699"/>
    </row>
    <row r="47" spans="2:13" ht="15" customHeight="1">
      <c r="B47" s="456">
        <v>2016</v>
      </c>
      <c r="C47" s="699">
        <v>24144.998062999999</v>
      </c>
      <c r="D47" s="492"/>
      <c r="E47" s="699">
        <v>3629.5002538282233</v>
      </c>
      <c r="F47" s="699"/>
      <c r="G47" s="699">
        <v>8824.6587620536175</v>
      </c>
      <c r="H47" s="699"/>
      <c r="I47" s="699">
        <v>1457.2230680962389</v>
      </c>
      <c r="J47" s="699"/>
      <c r="K47" s="699">
        <v>10233.615979021919</v>
      </c>
      <c r="L47" s="701"/>
      <c r="M47" s="699"/>
    </row>
    <row r="48" spans="2:13" ht="15" customHeight="1">
      <c r="B48" s="466">
        <v>2017</v>
      </c>
      <c r="C48" s="796">
        <v>25794.073413999999</v>
      </c>
      <c r="D48" s="73"/>
      <c r="E48" s="796">
        <v>3841.3050009597077</v>
      </c>
      <c r="F48" s="796"/>
      <c r="G48" s="796">
        <v>9610.639607395673</v>
      </c>
      <c r="H48" s="796"/>
      <c r="I48" s="796">
        <v>1552.9837780366979</v>
      </c>
      <c r="J48" s="796"/>
      <c r="K48" s="796">
        <v>10789.145027607919</v>
      </c>
      <c r="L48" s="724"/>
      <c r="M48" s="699"/>
    </row>
    <row r="50" spans="2:13" ht="6.95" customHeight="1"/>
    <row r="52" spans="2:13" ht="15" customHeight="1"/>
    <row r="54" spans="2:13" ht="6.95" customHeight="1"/>
    <row r="56" spans="2:13" ht="6.95" customHeight="1"/>
    <row r="58" spans="2:13" ht="6.95" customHeight="1"/>
    <row r="60" spans="2:13" ht="6.95" customHeight="1"/>
    <row r="62" spans="2:13" ht="6.95" customHeight="1"/>
    <row r="64" spans="2:13" ht="15.75">
      <c r="B64" s="653"/>
      <c r="C64" s="653"/>
      <c r="D64" s="653"/>
      <c r="E64" s="653"/>
      <c r="F64" s="653"/>
      <c r="G64" s="653"/>
      <c r="H64" s="653"/>
      <c r="I64" s="653"/>
      <c r="J64" s="653"/>
      <c r="K64" s="653"/>
      <c r="L64" s="653"/>
      <c r="M64" s="653"/>
    </row>
  </sheetData>
  <mergeCells count="4">
    <mergeCell ref="B1:L1"/>
    <mergeCell ref="E3:L3"/>
    <mergeCell ref="C4:L4"/>
    <mergeCell ref="C27:L27"/>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B1:O56"/>
  <sheetViews>
    <sheetView showGridLines="0" workbookViewId="0">
      <selection activeCell="J42" sqref="J42"/>
    </sheetView>
  </sheetViews>
  <sheetFormatPr defaultColWidth="9.7109375" defaultRowHeight="14.45" customHeight="1"/>
  <cols>
    <col min="2" max="2" width="15.28515625" customWidth="1"/>
    <col min="3" max="3" width="9.28515625" customWidth="1"/>
    <col min="4" max="4" width="2.28515625" customWidth="1"/>
    <col min="6" max="6" width="2.7109375" customWidth="1"/>
    <col min="8" max="8" width="2.7109375" customWidth="1"/>
    <col min="10" max="10" width="2.7109375" customWidth="1"/>
    <col min="12" max="12" width="2.28515625" customWidth="1"/>
  </cols>
  <sheetData>
    <row r="1" spans="2:13" ht="14.45" customHeight="1">
      <c r="B1" s="1081" t="s">
        <v>395</v>
      </c>
      <c r="C1" s="1081"/>
      <c r="D1" s="1081"/>
      <c r="E1" s="1081"/>
      <c r="F1" s="1081"/>
      <c r="G1" s="1081"/>
      <c r="H1" s="1081"/>
      <c r="I1" s="1081"/>
      <c r="J1" s="1081"/>
      <c r="K1" s="1081"/>
      <c r="L1" s="1081"/>
      <c r="M1" s="653"/>
    </row>
    <row r="2" spans="2:13" ht="14.45" customHeight="1">
      <c r="B2" s="797" t="s">
        <v>396</v>
      </c>
      <c r="C2" s="798"/>
      <c r="D2" s="798"/>
      <c r="E2" s="798"/>
      <c r="F2" s="798"/>
      <c r="G2" s="798"/>
      <c r="H2" s="798"/>
      <c r="I2" s="798"/>
      <c r="J2" s="798"/>
      <c r="K2" s="798"/>
      <c r="L2" s="798"/>
      <c r="M2" s="653"/>
    </row>
    <row r="3" spans="2:13" ht="14.45" customHeight="1">
      <c r="B3" s="797" t="s">
        <v>397</v>
      </c>
      <c r="C3" s="798"/>
      <c r="D3" s="798"/>
      <c r="E3" s="798"/>
      <c r="F3" s="798"/>
      <c r="G3" s="798"/>
      <c r="H3" s="798"/>
      <c r="I3" s="798"/>
      <c r="J3" s="798"/>
      <c r="K3" s="798"/>
      <c r="L3" s="798"/>
      <c r="M3" s="653"/>
    </row>
    <row r="4" spans="2:13" ht="14.45" customHeight="1">
      <c r="B4" s="797"/>
      <c r="C4" s="798"/>
      <c r="D4" s="798"/>
      <c r="E4" s="798"/>
      <c r="F4" s="798"/>
      <c r="G4" s="798"/>
      <c r="H4" s="798"/>
      <c r="I4" s="798"/>
      <c r="J4" s="798"/>
      <c r="K4" s="798"/>
      <c r="L4" s="798"/>
      <c r="M4" s="653"/>
    </row>
    <row r="5" spans="2:13" ht="14.45" customHeight="1">
      <c r="B5" s="1014" t="s">
        <v>398</v>
      </c>
      <c r="C5" s="1014"/>
      <c r="D5" s="1014"/>
      <c r="E5" s="1014"/>
      <c r="F5" s="1014"/>
      <c r="G5" s="1014"/>
      <c r="H5" s="1014"/>
      <c r="I5" s="1014"/>
      <c r="J5" s="1014"/>
      <c r="K5" s="1014"/>
      <c r="L5" s="1014"/>
      <c r="M5" s="653"/>
    </row>
    <row r="6" spans="2:13" ht="14.45" customHeight="1">
      <c r="B6" s="799" t="s">
        <v>379</v>
      </c>
      <c r="C6" s="1086" t="s">
        <v>58</v>
      </c>
      <c r="D6" s="1065"/>
      <c r="E6" s="1065"/>
      <c r="F6" s="1065"/>
      <c r="G6" s="1065"/>
      <c r="H6" s="1065"/>
      <c r="I6" s="1065"/>
      <c r="J6" s="1065"/>
      <c r="K6" s="1065"/>
      <c r="L6" s="1087"/>
      <c r="M6" s="653"/>
    </row>
    <row r="7" spans="2:13" ht="14.45" customHeight="1">
      <c r="B7" s="800" t="s">
        <v>311</v>
      </c>
      <c r="C7" s="801" t="s">
        <v>33</v>
      </c>
      <c r="D7" s="494"/>
      <c r="E7" s="790" t="s">
        <v>47</v>
      </c>
      <c r="F7" s="494"/>
      <c r="G7" s="790" t="s">
        <v>48</v>
      </c>
      <c r="H7" s="494"/>
      <c r="I7" s="790" t="s">
        <v>49</v>
      </c>
      <c r="J7" s="494"/>
      <c r="K7" s="790" t="s">
        <v>50</v>
      </c>
      <c r="L7" s="802"/>
      <c r="M7" s="653"/>
    </row>
    <row r="8" spans="2:13" ht="14.45" customHeight="1">
      <c r="B8" s="803" t="s">
        <v>399</v>
      </c>
      <c r="C8" s="804">
        <v>10.366</v>
      </c>
      <c r="D8" s="804"/>
      <c r="E8" s="804">
        <v>10.849</v>
      </c>
      <c r="F8" s="804"/>
      <c r="G8" s="804">
        <v>11.045999999999999</v>
      </c>
      <c r="H8" s="804"/>
      <c r="I8" s="804">
        <v>8.282</v>
      </c>
      <c r="J8" s="804"/>
      <c r="K8" s="804">
        <v>10.164</v>
      </c>
      <c r="L8" s="805"/>
      <c r="M8" s="653"/>
    </row>
    <row r="9" spans="2:13" ht="14.45" customHeight="1">
      <c r="B9" s="803" t="s">
        <v>400</v>
      </c>
      <c r="C9" s="804">
        <v>10.366</v>
      </c>
      <c r="D9" s="804"/>
      <c r="E9" s="804">
        <v>10.961</v>
      </c>
      <c r="F9" s="804"/>
      <c r="G9" s="804">
        <v>10.739000000000001</v>
      </c>
      <c r="H9" s="804"/>
      <c r="I9" s="804">
        <v>8.8000000000000007</v>
      </c>
      <c r="J9" s="804"/>
      <c r="K9" s="804">
        <v>10.236000000000001</v>
      </c>
      <c r="L9" s="805"/>
      <c r="M9" s="653"/>
    </row>
    <row r="10" spans="2:13" ht="14.45" customHeight="1">
      <c r="B10" s="803">
        <v>2000</v>
      </c>
      <c r="C10" s="804">
        <v>10.366</v>
      </c>
      <c r="D10" s="804"/>
      <c r="E10" s="804">
        <v>11.167</v>
      </c>
      <c r="F10" s="804"/>
      <c r="G10" s="804">
        <v>10.851000000000001</v>
      </c>
      <c r="H10" s="804"/>
      <c r="I10" s="804">
        <v>9.3979999999999997</v>
      </c>
      <c r="J10" s="804"/>
      <c r="K10" s="804">
        <v>9.9890000000000008</v>
      </c>
      <c r="L10" s="805"/>
      <c r="M10" s="653"/>
    </row>
    <row r="11" spans="2:13" ht="14.45" customHeight="1">
      <c r="B11" s="803">
        <v>2001</v>
      </c>
      <c r="C11" s="804">
        <v>10.366</v>
      </c>
      <c r="D11" s="804"/>
      <c r="E11" s="804">
        <v>11.255000000000001</v>
      </c>
      <c r="F11" s="804"/>
      <c r="G11" s="804">
        <v>10.847</v>
      </c>
      <c r="H11" s="804"/>
      <c r="I11" s="804">
        <v>10.54</v>
      </c>
      <c r="J11" s="804"/>
      <c r="K11" s="804">
        <v>9.7680000000000007</v>
      </c>
      <c r="L11" s="805"/>
      <c r="M11" s="653"/>
    </row>
    <row r="12" spans="2:13" ht="14.45" customHeight="1">
      <c r="B12" s="803">
        <v>2002</v>
      </c>
      <c r="C12" s="804">
        <v>10.366</v>
      </c>
      <c r="D12" s="12"/>
      <c r="E12" s="804">
        <v>11.609</v>
      </c>
      <c r="F12" s="804"/>
      <c r="G12" s="804">
        <v>10.792</v>
      </c>
      <c r="H12" s="804"/>
      <c r="I12" s="804">
        <v>10.541</v>
      </c>
      <c r="J12" s="804"/>
      <c r="K12" s="804">
        <v>9.7119999999999997</v>
      </c>
      <c r="L12" s="805"/>
      <c r="M12" s="653"/>
    </row>
    <row r="13" spans="2:13" ht="14.45" customHeight="1">
      <c r="B13" s="803" t="s">
        <v>401</v>
      </c>
      <c r="C13" s="804">
        <v>10.366</v>
      </c>
      <c r="D13" s="12"/>
      <c r="E13" s="804">
        <v>11.936</v>
      </c>
      <c r="F13" s="804"/>
      <c r="G13" s="804">
        <v>10.564</v>
      </c>
      <c r="H13" s="804"/>
      <c r="I13" s="804">
        <v>10.606999999999999</v>
      </c>
      <c r="J13" s="804"/>
      <c r="K13" s="804">
        <v>9.7759999999999998</v>
      </c>
      <c r="L13" s="805"/>
      <c r="M13" s="653"/>
    </row>
    <row r="14" spans="2:13" ht="14.45" customHeight="1">
      <c r="B14" s="803" t="s">
        <v>402</v>
      </c>
      <c r="C14" s="804">
        <v>12.282999999999999</v>
      </c>
      <c r="D14" s="12"/>
      <c r="E14" s="804">
        <v>14.16</v>
      </c>
      <c r="F14" s="804"/>
      <c r="G14" s="804">
        <v>12.516999999999999</v>
      </c>
      <c r="H14" s="804"/>
      <c r="I14" s="804">
        <v>12.565</v>
      </c>
      <c r="J14" s="804"/>
      <c r="K14" s="804">
        <v>11.58</v>
      </c>
      <c r="L14" s="805"/>
      <c r="M14" s="653"/>
    </row>
    <row r="15" spans="2:13" ht="14.45" customHeight="1">
      <c r="B15" s="803">
        <v>2004</v>
      </c>
      <c r="C15" s="804">
        <v>12.282999999999999</v>
      </c>
      <c r="D15" s="12"/>
      <c r="E15" s="804">
        <v>14.55</v>
      </c>
      <c r="F15" s="804"/>
      <c r="G15" s="804">
        <v>12.62</v>
      </c>
      <c r="H15" s="804"/>
      <c r="I15" s="804">
        <v>12.417999999999999</v>
      </c>
      <c r="J15" s="804"/>
      <c r="K15" s="804">
        <v>11.430999999999999</v>
      </c>
      <c r="L15" s="805"/>
      <c r="M15" s="653"/>
    </row>
    <row r="16" spans="2:13" ht="14.45" customHeight="1">
      <c r="B16" s="803">
        <v>2005</v>
      </c>
      <c r="C16" s="804">
        <v>12.282999999999999</v>
      </c>
      <c r="D16" s="12"/>
      <c r="E16" s="804">
        <v>15.093999999999999</v>
      </c>
      <c r="F16" s="804"/>
      <c r="G16" s="804">
        <v>12.215999999999999</v>
      </c>
      <c r="H16" s="804"/>
      <c r="I16" s="804">
        <v>12.553000000000001</v>
      </c>
      <c r="J16" s="804"/>
      <c r="K16" s="804">
        <v>11.558</v>
      </c>
      <c r="L16" s="805"/>
      <c r="M16" s="653"/>
    </row>
    <row r="17" spans="2:15" ht="14.45" customHeight="1">
      <c r="B17" s="803">
        <v>2006</v>
      </c>
      <c r="C17" s="804">
        <v>12.282999999999999</v>
      </c>
      <c r="D17" s="15"/>
      <c r="E17" s="804">
        <v>15.746</v>
      </c>
      <c r="F17" s="804"/>
      <c r="G17" s="804">
        <v>12.396000000000001</v>
      </c>
      <c r="H17" s="804"/>
      <c r="I17" s="804">
        <v>12.308999999999999</v>
      </c>
      <c r="J17" s="804"/>
      <c r="K17" s="804">
        <v>11.305999999999999</v>
      </c>
      <c r="L17" s="805"/>
      <c r="M17" s="653"/>
      <c r="O17" s="806"/>
    </row>
    <row r="18" spans="2:15" ht="14.45" customHeight="1">
      <c r="B18" s="803">
        <v>2007</v>
      </c>
      <c r="C18" s="804">
        <v>12.282999999999999</v>
      </c>
      <c r="D18" s="15"/>
      <c r="E18" s="804">
        <v>16.117999999999999</v>
      </c>
      <c r="F18" s="804"/>
      <c r="G18" s="804">
        <v>12.737</v>
      </c>
      <c r="H18" s="804"/>
      <c r="I18" s="804">
        <v>12.007</v>
      </c>
      <c r="J18" s="804"/>
      <c r="K18" s="804">
        <v>10.997</v>
      </c>
      <c r="L18" s="805"/>
      <c r="M18" s="653"/>
      <c r="O18" s="806"/>
    </row>
    <row r="19" spans="2:15" ht="14.45" customHeight="1">
      <c r="B19" s="807">
        <v>2008</v>
      </c>
      <c r="C19" s="804">
        <v>11.423</v>
      </c>
      <c r="D19" s="15"/>
      <c r="E19" s="804">
        <v>15.433999999999999</v>
      </c>
      <c r="F19" s="804"/>
      <c r="G19" s="804">
        <v>11.928000000000001</v>
      </c>
      <c r="H19" s="804"/>
      <c r="I19" s="804">
        <v>11.577</v>
      </c>
      <c r="J19" s="804"/>
      <c r="K19" s="804">
        <v>10.058999999999999</v>
      </c>
      <c r="L19" s="783"/>
      <c r="M19" s="653"/>
      <c r="O19" s="806"/>
    </row>
    <row r="20" spans="2:15" ht="14.45" customHeight="1">
      <c r="B20" s="807" t="s">
        <v>403</v>
      </c>
      <c r="C20" s="804">
        <v>11.423</v>
      </c>
      <c r="D20" s="15"/>
      <c r="E20" s="804">
        <v>15.605</v>
      </c>
      <c r="F20" s="804"/>
      <c r="G20" s="804">
        <v>12.138999999999999</v>
      </c>
      <c r="H20" s="804"/>
      <c r="I20" s="804">
        <v>11.698</v>
      </c>
      <c r="J20" s="804"/>
      <c r="K20" s="804">
        <v>9.8699999999999992</v>
      </c>
      <c r="L20" s="783"/>
      <c r="M20" s="653"/>
      <c r="O20" s="806"/>
    </row>
    <row r="21" spans="2:15" ht="14.45" customHeight="1">
      <c r="B21" s="807" t="s">
        <v>404</v>
      </c>
      <c r="C21" s="804">
        <v>12.282999999999999</v>
      </c>
      <c r="D21" s="15"/>
      <c r="E21" s="804">
        <v>16.786999999999999</v>
      </c>
      <c r="F21" s="804"/>
      <c r="G21" s="804">
        <v>13.053000000000001</v>
      </c>
      <c r="H21" s="804"/>
      <c r="I21" s="804">
        <v>12.577</v>
      </c>
      <c r="J21" s="804"/>
      <c r="K21" s="804">
        <v>10.612</v>
      </c>
      <c r="L21" s="783"/>
      <c r="M21" s="653"/>
    </row>
    <row r="22" spans="2:15" ht="14.45" customHeight="1">
      <c r="B22" s="807">
        <v>2010</v>
      </c>
      <c r="C22" s="804">
        <v>12.282999999999999</v>
      </c>
      <c r="D22" s="15"/>
      <c r="E22" s="804">
        <v>17.088000000000001</v>
      </c>
      <c r="F22" s="804"/>
      <c r="G22" s="804">
        <v>13.241</v>
      </c>
      <c r="H22" s="804"/>
      <c r="I22" s="804">
        <v>12.743</v>
      </c>
      <c r="J22" s="804"/>
      <c r="K22" s="804">
        <v>10.426</v>
      </c>
      <c r="L22" s="783"/>
      <c r="M22" s="653"/>
    </row>
    <row r="23" spans="2:15" ht="14.45" customHeight="1">
      <c r="B23" s="807">
        <v>2011</v>
      </c>
      <c r="C23" s="804">
        <v>12.282999999999999</v>
      </c>
      <c r="D23" s="15"/>
      <c r="E23" s="804">
        <v>17.364000000000001</v>
      </c>
      <c r="F23" s="804"/>
      <c r="G23" s="804">
        <v>13.353</v>
      </c>
      <c r="H23" s="804"/>
      <c r="I23" s="804">
        <v>12.631</v>
      </c>
      <c r="J23" s="804"/>
      <c r="K23" s="804">
        <v>10.311999999999999</v>
      </c>
      <c r="L23" s="783"/>
      <c r="M23" s="653"/>
    </row>
    <row r="24" spans="2:15" ht="14.45" customHeight="1">
      <c r="B24" s="807">
        <v>2012</v>
      </c>
      <c r="C24" s="804">
        <v>12.282999999999999</v>
      </c>
      <c r="D24" s="15"/>
      <c r="E24" s="804">
        <v>18.204999999999998</v>
      </c>
      <c r="F24" s="804"/>
      <c r="G24" s="804">
        <v>13.433</v>
      </c>
      <c r="H24" s="804"/>
      <c r="I24" s="804">
        <v>12.473000000000001</v>
      </c>
      <c r="J24" s="804"/>
      <c r="K24" s="804">
        <v>10.151999999999999</v>
      </c>
      <c r="L24" s="783"/>
      <c r="M24" s="653"/>
    </row>
    <row r="25" spans="2:15" ht="14.45" customHeight="1">
      <c r="B25" s="807">
        <v>2013</v>
      </c>
      <c r="C25" s="804">
        <v>12.282999999999999</v>
      </c>
      <c r="D25" s="15"/>
      <c r="E25" s="804">
        <v>18.568999999999999</v>
      </c>
      <c r="F25" s="804"/>
      <c r="G25" s="804">
        <v>13.180999999999999</v>
      </c>
      <c r="H25" s="804"/>
      <c r="I25" s="804">
        <v>12.477</v>
      </c>
      <c r="J25" s="804"/>
      <c r="K25" s="804">
        <v>10.288</v>
      </c>
      <c r="L25" s="783"/>
      <c r="M25" s="653"/>
    </row>
    <row r="26" spans="2:15" ht="14.45" customHeight="1">
      <c r="B26" s="807">
        <v>2014</v>
      </c>
      <c r="C26" s="804">
        <v>12.282999999999999</v>
      </c>
      <c r="D26" s="15"/>
      <c r="E26" s="804">
        <v>19.190999999999999</v>
      </c>
      <c r="F26" s="804"/>
      <c r="G26" s="804">
        <v>13.145</v>
      </c>
      <c r="H26" s="804"/>
      <c r="I26" s="804">
        <v>11.901999999999999</v>
      </c>
      <c r="J26" s="804"/>
      <c r="K26" s="804">
        <v>10.323</v>
      </c>
      <c r="L26" s="783"/>
      <c r="M26" s="653"/>
    </row>
    <row r="27" spans="2:15" ht="14.45" customHeight="1">
      <c r="B27" s="807">
        <v>2015</v>
      </c>
      <c r="C27" s="804">
        <v>12.282999999999999</v>
      </c>
      <c r="D27" s="15"/>
      <c r="E27" s="804">
        <v>19.157</v>
      </c>
      <c r="F27" s="804"/>
      <c r="G27" s="804">
        <v>12.855</v>
      </c>
      <c r="H27" s="804"/>
      <c r="I27" s="804">
        <v>11.125</v>
      </c>
      <c r="J27" s="804"/>
      <c r="K27" s="804">
        <v>10.683999999999999</v>
      </c>
      <c r="L27" s="783"/>
      <c r="M27" s="653"/>
    </row>
    <row r="28" spans="2:15" ht="14.45" customHeight="1">
      <c r="B28" s="807">
        <v>2016</v>
      </c>
      <c r="C28" s="804">
        <v>12.282999999999999</v>
      </c>
      <c r="D28" s="15"/>
      <c r="E28" s="804">
        <v>19.553999999999998</v>
      </c>
      <c r="F28" s="804"/>
      <c r="G28" s="804">
        <v>12.882999999999999</v>
      </c>
      <c r="H28" s="804"/>
      <c r="I28" s="804">
        <v>10.813000000000001</v>
      </c>
      <c r="J28" s="804"/>
      <c r="K28" s="804">
        <v>10.656000000000001</v>
      </c>
      <c r="L28" s="783"/>
      <c r="M28" s="653"/>
    </row>
    <row r="29" spans="2:15" ht="14.45" customHeight="1">
      <c r="B29" s="808">
        <v>2017</v>
      </c>
      <c r="C29" s="809">
        <v>12.282999999999999</v>
      </c>
      <c r="D29" s="810"/>
      <c r="E29" s="809">
        <v>19.991</v>
      </c>
      <c r="F29" s="809"/>
      <c r="G29" s="809">
        <v>12.891999999999999</v>
      </c>
      <c r="H29" s="809"/>
      <c r="I29" s="809">
        <v>10.933999999999999</v>
      </c>
      <c r="J29" s="809"/>
      <c r="K29" s="809">
        <v>10.574</v>
      </c>
      <c r="L29" s="789"/>
      <c r="M29" s="653"/>
    </row>
    <row r="30" spans="2:15" ht="14.45" customHeight="1">
      <c r="B30" s="811" t="s">
        <v>405</v>
      </c>
      <c r="M30" s="749"/>
      <c r="N30" s="749"/>
    </row>
    <row r="31" spans="2:15" ht="14.45" customHeight="1">
      <c r="M31" s="749"/>
      <c r="N31" s="749"/>
    </row>
    <row r="32" spans="2:15" ht="14.45" customHeight="1">
      <c r="B32" s="1038" t="s">
        <v>406</v>
      </c>
      <c r="C32" s="1038"/>
      <c r="D32" s="1038"/>
      <c r="E32" s="1038"/>
      <c r="F32" s="1038"/>
      <c r="G32" s="1038"/>
      <c r="H32" s="1038"/>
      <c r="I32" s="1038"/>
      <c r="J32" s="1038"/>
      <c r="K32" s="1038"/>
      <c r="L32" s="1038"/>
    </row>
    <row r="33" spans="2:12" ht="14.45" customHeight="1">
      <c r="B33" s="799" t="s">
        <v>379</v>
      </c>
      <c r="C33" s="535"/>
      <c r="E33" s="1065" t="s">
        <v>58</v>
      </c>
      <c r="F33" s="1065"/>
      <c r="G33" s="1065"/>
      <c r="H33" s="1065"/>
      <c r="I33" s="1065"/>
      <c r="J33" s="1065"/>
      <c r="K33" s="1065"/>
      <c r="L33" s="1087"/>
    </row>
    <row r="34" spans="2:12" ht="14.45" customHeight="1">
      <c r="B34" s="800" t="s">
        <v>311</v>
      </c>
      <c r="C34" s="812"/>
      <c r="D34" s="813"/>
      <c r="E34" s="814" t="s">
        <v>47</v>
      </c>
      <c r="F34" s="494"/>
      <c r="G34" s="790" t="s">
        <v>48</v>
      </c>
      <c r="H34" s="494"/>
      <c r="I34" s="790" t="s">
        <v>49</v>
      </c>
      <c r="J34" s="494"/>
      <c r="K34" s="790" t="s">
        <v>50</v>
      </c>
      <c r="L34" s="802"/>
    </row>
    <row r="35" spans="2:12" ht="14.45" customHeight="1">
      <c r="B35" s="803" t="s">
        <v>399</v>
      </c>
      <c r="E35" s="804">
        <v>6.1529999999999996</v>
      </c>
      <c r="F35" s="804"/>
      <c r="G35" s="804">
        <v>6.3129999999999997</v>
      </c>
      <c r="H35" s="804"/>
      <c r="I35" s="804" t="s">
        <v>407</v>
      </c>
      <c r="J35" s="804"/>
      <c r="K35" s="804">
        <v>5.8090000000000002</v>
      </c>
      <c r="L35" s="741"/>
    </row>
    <row r="36" spans="2:12" ht="14.45" customHeight="1">
      <c r="B36" s="803" t="s">
        <v>400</v>
      </c>
      <c r="E36" s="804">
        <v>6.1950000000000003</v>
      </c>
      <c r="F36" s="804"/>
      <c r="G36" s="804">
        <v>6.1120000000000001</v>
      </c>
      <c r="H36" s="804"/>
      <c r="I36" s="804" t="s">
        <v>407</v>
      </c>
      <c r="J36" s="804"/>
      <c r="K36" s="804">
        <v>5.8330000000000002</v>
      </c>
      <c r="L36" s="741"/>
    </row>
    <row r="37" spans="2:12" ht="14.45" customHeight="1">
      <c r="B37" s="803" t="s">
        <v>408</v>
      </c>
      <c r="E37" s="804">
        <v>6.72</v>
      </c>
      <c r="F37" s="804"/>
      <c r="G37" s="804">
        <v>6.569</v>
      </c>
      <c r="H37" s="804"/>
      <c r="I37" s="804" t="s">
        <v>407</v>
      </c>
      <c r="J37" s="804"/>
      <c r="K37" s="804">
        <v>6.0540000000000003</v>
      </c>
      <c r="L37" s="741"/>
    </row>
    <row r="38" spans="2:12" ht="14.45" customHeight="1">
      <c r="B38" s="803" t="s">
        <v>409</v>
      </c>
      <c r="E38" s="804">
        <v>6.8090000000000002</v>
      </c>
      <c r="F38" s="804"/>
      <c r="G38" s="804">
        <v>6.5979999999999999</v>
      </c>
      <c r="H38" s="804"/>
      <c r="I38" s="804" t="s">
        <v>407</v>
      </c>
      <c r="J38" s="804"/>
      <c r="K38" s="804">
        <v>5.9489999999999998</v>
      </c>
      <c r="L38" s="741"/>
    </row>
    <row r="39" spans="2:12" ht="14.45" customHeight="1">
      <c r="B39" s="803">
        <v>2002</v>
      </c>
      <c r="E39" s="804">
        <v>7.0019999999999998</v>
      </c>
      <c r="F39" s="804"/>
      <c r="G39" s="804">
        <v>6.5430000000000001</v>
      </c>
      <c r="H39" s="804"/>
      <c r="I39" s="804" t="s">
        <v>407</v>
      </c>
      <c r="J39" s="804"/>
      <c r="K39" s="804">
        <v>5.8949999999999996</v>
      </c>
      <c r="L39" s="741"/>
    </row>
    <row r="40" spans="2:12" ht="14.45" customHeight="1">
      <c r="B40" s="803" t="s">
        <v>401</v>
      </c>
      <c r="E40" s="804">
        <v>7.0960000000000001</v>
      </c>
      <c r="F40" s="804"/>
      <c r="G40" s="804">
        <v>6.3120000000000003</v>
      </c>
      <c r="H40" s="804"/>
      <c r="I40" s="804" t="s">
        <v>407</v>
      </c>
      <c r="J40" s="804"/>
      <c r="K40" s="804">
        <v>5.8479999999999999</v>
      </c>
      <c r="L40" s="741"/>
    </row>
    <row r="41" spans="2:12" ht="14.45" customHeight="1">
      <c r="B41" s="803" t="s">
        <v>402</v>
      </c>
      <c r="E41" s="804">
        <v>7.0960000000000001</v>
      </c>
      <c r="F41" s="804"/>
      <c r="G41" s="804">
        <v>6.3120000000000003</v>
      </c>
      <c r="H41" s="804"/>
      <c r="I41" s="804" t="s">
        <v>407</v>
      </c>
      <c r="J41" s="804"/>
      <c r="K41" s="804">
        <v>5.8479999999999999</v>
      </c>
      <c r="L41" s="741"/>
    </row>
    <row r="42" spans="2:12" ht="14.45" customHeight="1">
      <c r="B42" s="803">
        <v>2004</v>
      </c>
      <c r="E42" s="804">
        <v>7.7610000000000001</v>
      </c>
      <c r="F42" s="804"/>
      <c r="G42" s="804">
        <v>6.7640000000000002</v>
      </c>
      <c r="H42" s="804"/>
      <c r="I42" s="804" t="s">
        <v>407</v>
      </c>
      <c r="J42" s="804"/>
      <c r="K42" s="804">
        <v>6.1349999999999998</v>
      </c>
      <c r="L42" s="741"/>
    </row>
    <row r="43" spans="2:12" ht="14.45" customHeight="1">
      <c r="B43" s="803">
        <v>2005</v>
      </c>
      <c r="E43" s="804">
        <v>8.2249999999999996</v>
      </c>
      <c r="F43" s="804"/>
      <c r="G43" s="804">
        <v>6.6870000000000003</v>
      </c>
      <c r="H43" s="804"/>
      <c r="I43" s="804" t="s">
        <v>407</v>
      </c>
      <c r="J43" s="804"/>
      <c r="K43" s="804">
        <v>6.335</v>
      </c>
      <c r="L43" s="741"/>
    </row>
    <row r="44" spans="2:12" ht="14.45" customHeight="1">
      <c r="B44" s="803">
        <v>2006</v>
      </c>
      <c r="E44" s="804">
        <v>8.6929999999999996</v>
      </c>
      <c r="F44" s="804"/>
      <c r="G44" s="804">
        <v>6.8920000000000003</v>
      </c>
      <c r="H44" s="804"/>
      <c r="I44" s="804" t="s">
        <v>407</v>
      </c>
      <c r="J44" s="804"/>
      <c r="K44" s="804">
        <v>6.2759999999999998</v>
      </c>
      <c r="L44" s="741"/>
    </row>
    <row r="45" spans="2:12" ht="14.45" customHeight="1">
      <c r="B45" s="803">
        <v>2007</v>
      </c>
      <c r="E45" s="804">
        <v>9.1820000000000004</v>
      </c>
      <c r="F45" s="804"/>
      <c r="G45" s="804">
        <v>7.2880000000000003</v>
      </c>
      <c r="H45" s="804"/>
      <c r="I45" s="804" t="s">
        <v>407</v>
      </c>
      <c r="J45" s="804"/>
      <c r="K45" s="804">
        <v>6.3010000000000002</v>
      </c>
      <c r="L45" s="741"/>
    </row>
    <row r="46" spans="2:12" ht="14.45" customHeight="1">
      <c r="B46" s="807">
        <v>2008</v>
      </c>
      <c r="E46" s="804">
        <v>10.324</v>
      </c>
      <c r="F46" s="804"/>
      <c r="G46" s="804">
        <v>8.0190000000000001</v>
      </c>
      <c r="H46" s="804"/>
      <c r="I46" s="804" t="s">
        <v>407</v>
      </c>
      <c r="J46" s="804"/>
      <c r="K46" s="804">
        <v>6.7690000000000001</v>
      </c>
      <c r="L46" s="744"/>
    </row>
    <row r="47" spans="2:12" ht="14.45" customHeight="1">
      <c r="B47" s="807" t="s">
        <v>403</v>
      </c>
      <c r="E47" s="804">
        <v>9.8699999999999992</v>
      </c>
      <c r="F47" s="804"/>
      <c r="G47" s="804">
        <v>7.7050000000000001</v>
      </c>
      <c r="H47" s="804"/>
      <c r="I47" s="804" t="s">
        <v>407</v>
      </c>
      <c r="J47" s="804"/>
      <c r="K47" s="804">
        <v>6.2709999999999999</v>
      </c>
      <c r="L47" s="744"/>
    </row>
    <row r="48" spans="2:12" ht="14.45" customHeight="1">
      <c r="B48" s="807" t="s">
        <v>404</v>
      </c>
      <c r="E48" s="804">
        <v>9.8699999999999992</v>
      </c>
      <c r="F48" s="804"/>
      <c r="G48" s="804">
        <v>7.7050000000000001</v>
      </c>
      <c r="H48" s="804"/>
      <c r="I48" s="804" t="s">
        <v>407</v>
      </c>
      <c r="J48" s="804"/>
      <c r="K48" s="804">
        <v>6.2709999999999999</v>
      </c>
      <c r="L48" s="744"/>
    </row>
    <row r="49" spans="2:12" ht="14.45" customHeight="1">
      <c r="B49" s="815">
        <v>2010</v>
      </c>
      <c r="E49" s="816">
        <v>9.4689999999999994</v>
      </c>
      <c r="F49" s="817"/>
      <c r="G49" s="816">
        <v>7.367</v>
      </c>
      <c r="H49" s="817"/>
      <c r="I49" s="804" t="s">
        <v>407</v>
      </c>
      <c r="J49" s="817"/>
      <c r="K49" s="816">
        <v>5.8079999999999998</v>
      </c>
      <c r="L49" s="818"/>
    </row>
    <row r="50" spans="2:12" ht="14.45" customHeight="1">
      <c r="B50" s="815">
        <v>2011</v>
      </c>
      <c r="E50" s="816">
        <v>10.206</v>
      </c>
      <c r="F50" s="817"/>
      <c r="G50" s="816">
        <v>7.8769999999999998</v>
      </c>
      <c r="H50" s="817"/>
      <c r="I50" s="804" t="s">
        <v>407</v>
      </c>
      <c r="J50" s="817"/>
      <c r="K50" s="816">
        <v>6.09</v>
      </c>
      <c r="L50" s="818"/>
    </row>
    <row r="51" spans="2:12" ht="14.45" customHeight="1">
      <c r="B51" s="815">
        <v>2012</v>
      </c>
      <c r="E51" s="816">
        <v>11.596</v>
      </c>
      <c r="F51" s="817"/>
      <c r="G51" s="816">
        <v>8.5820000000000007</v>
      </c>
      <c r="H51" s="817"/>
      <c r="I51" s="804" t="s">
        <v>407</v>
      </c>
      <c r="J51" s="817"/>
      <c r="K51" s="816">
        <v>6.4930000000000003</v>
      </c>
      <c r="L51" s="818"/>
    </row>
    <row r="52" spans="2:12" ht="14.45" customHeight="1">
      <c r="B52" s="815">
        <v>2013</v>
      </c>
      <c r="E52" s="816">
        <v>11.457000000000001</v>
      </c>
      <c r="F52" s="817"/>
      <c r="G52" s="816">
        <v>8.1579999999999995</v>
      </c>
      <c r="H52" s="817"/>
      <c r="I52" s="804" t="s">
        <v>407</v>
      </c>
      <c r="J52" s="817"/>
      <c r="K52" s="816">
        <v>6.3739999999999997</v>
      </c>
      <c r="L52" s="818"/>
    </row>
    <row r="53" spans="2:12" ht="14.45" customHeight="1">
      <c r="B53" s="815">
        <v>2014</v>
      </c>
      <c r="E53" s="816">
        <v>11.276999999999999</v>
      </c>
      <c r="F53" s="637"/>
      <c r="G53" s="816">
        <v>7.7489999999999997</v>
      </c>
      <c r="H53" s="637"/>
      <c r="I53" s="804" t="s">
        <v>407</v>
      </c>
      <c r="J53" s="637"/>
      <c r="K53" s="816">
        <v>6.0919999999999996</v>
      </c>
      <c r="L53" s="704"/>
    </row>
    <row r="54" spans="2:12" ht="14.45" customHeight="1">
      <c r="B54" s="815">
        <v>2015</v>
      </c>
      <c r="E54" s="816">
        <v>11.581</v>
      </c>
      <c r="F54" s="637"/>
      <c r="G54" s="816">
        <v>7.7949999999999999</v>
      </c>
      <c r="H54" s="637"/>
      <c r="I54" s="819" t="s">
        <v>407</v>
      </c>
      <c r="J54" s="637"/>
      <c r="K54" s="816">
        <v>6.4850000000000003</v>
      </c>
      <c r="L54" s="704"/>
    </row>
    <row r="55" spans="2:12" ht="14.45" customHeight="1">
      <c r="B55" s="815">
        <v>2016</v>
      </c>
      <c r="C55" s="820"/>
      <c r="D55" s="637"/>
      <c r="E55" s="816">
        <v>11.506</v>
      </c>
      <c r="F55" s="637"/>
      <c r="G55" s="816">
        <v>7.6029999999999998</v>
      </c>
      <c r="H55" s="637"/>
      <c r="I55" s="819" t="s">
        <v>407</v>
      </c>
      <c r="J55" s="637"/>
      <c r="K55" s="816">
        <v>6.2939999999999996</v>
      </c>
      <c r="L55" s="704"/>
    </row>
    <row r="56" spans="2:12" ht="14.45" customHeight="1">
      <c r="B56" s="821">
        <v>2017</v>
      </c>
      <c r="C56" s="813"/>
      <c r="D56" s="813"/>
      <c r="E56" s="822">
        <v>12.051</v>
      </c>
      <c r="F56" s="813"/>
      <c r="G56" s="822">
        <v>7.7930000000000001</v>
      </c>
      <c r="H56" s="813"/>
      <c r="I56" s="823" t="s">
        <v>407</v>
      </c>
      <c r="J56" s="813"/>
      <c r="K56" s="822">
        <v>6.3970000000000002</v>
      </c>
      <c r="L56" s="824"/>
    </row>
  </sheetData>
  <mergeCells count="5">
    <mergeCell ref="B1:L1"/>
    <mergeCell ref="B5:L5"/>
    <mergeCell ref="C6:L6"/>
    <mergeCell ref="B32:L32"/>
    <mergeCell ref="E33:L33"/>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B1:I43"/>
  <sheetViews>
    <sheetView showGridLines="0" topLeftCell="A4" workbookViewId="0">
      <selection activeCell="G14" sqref="G14"/>
    </sheetView>
  </sheetViews>
  <sheetFormatPr defaultColWidth="13.85546875" defaultRowHeight="15"/>
  <cols>
    <col min="2" max="2" width="12.42578125" customWidth="1"/>
    <col min="3" max="3" width="2.42578125" customWidth="1"/>
    <col min="4" max="4" width="13.85546875" customWidth="1"/>
    <col min="5" max="5" width="5.28515625" customWidth="1"/>
    <col min="6" max="6" width="11.42578125" customWidth="1"/>
    <col min="7" max="7" width="5.28515625" customWidth="1"/>
    <col min="8" max="8" width="12.42578125" customWidth="1"/>
    <col min="9" max="9" width="6.7109375" customWidth="1"/>
  </cols>
  <sheetData>
    <row r="1" spans="2:9" ht="18" customHeight="1">
      <c r="B1" s="1088" t="s">
        <v>410</v>
      </c>
      <c r="C1" s="1088"/>
      <c r="D1" s="1088"/>
      <c r="E1" s="1088"/>
      <c r="F1" s="1088"/>
      <c r="G1" s="1088"/>
      <c r="H1" s="1088"/>
      <c r="I1" s="1088"/>
    </row>
    <row r="2" spans="2:9" ht="15.75">
      <c r="B2" s="825" t="s">
        <v>397</v>
      </c>
      <c r="C2" s="729"/>
      <c r="D2" s="729"/>
      <c r="E2" s="693"/>
      <c r="F2" s="729"/>
      <c r="G2" s="729"/>
      <c r="H2" s="729"/>
      <c r="I2" s="729"/>
    </row>
    <row r="3" spans="2:9" ht="15.75">
      <c r="B3" s="826" t="s">
        <v>272</v>
      </c>
      <c r="C3" s="729"/>
      <c r="D3" s="729"/>
      <c r="E3" s="693"/>
      <c r="F3" s="729"/>
      <c r="G3" s="729"/>
      <c r="H3" s="729"/>
      <c r="I3" s="729"/>
    </row>
    <row r="4" spans="2:9" ht="12" customHeight="1">
      <c r="B4" s="37"/>
      <c r="C4" s="37"/>
      <c r="D4" s="37"/>
      <c r="E4" s="37"/>
      <c r="F4" s="37"/>
      <c r="G4" s="37"/>
      <c r="H4" s="37"/>
      <c r="I4" s="37"/>
    </row>
    <row r="5" spans="2:9" ht="12" customHeight="1">
      <c r="B5" s="420"/>
      <c r="C5" s="420"/>
      <c r="D5" s="420"/>
      <c r="E5" s="420"/>
      <c r="F5" s="420"/>
      <c r="G5" s="420"/>
      <c r="H5" s="420"/>
      <c r="I5" s="420"/>
    </row>
    <row r="6" spans="2:9" ht="15.75">
      <c r="B6" s="827"/>
      <c r="C6" s="828"/>
      <c r="D6" s="829"/>
      <c r="E6" s="829"/>
      <c r="F6" s="829"/>
      <c r="G6" s="830"/>
      <c r="H6" s="831" t="s">
        <v>411</v>
      </c>
      <c r="I6" s="832"/>
    </row>
    <row r="7" spans="2:9" ht="15" customHeight="1">
      <c r="B7" s="664" t="s">
        <v>379</v>
      </c>
      <c r="C7" s="833"/>
      <c r="D7" s="834"/>
      <c r="E7" s="834"/>
      <c r="F7" s="834"/>
      <c r="G7" s="834"/>
      <c r="H7" s="760" t="s">
        <v>412</v>
      </c>
      <c r="I7" s="835"/>
    </row>
    <row r="8" spans="2:9" ht="17.25" customHeight="1">
      <c r="B8" s="664" t="s">
        <v>311</v>
      </c>
      <c r="C8" s="833"/>
      <c r="D8" s="836" t="s">
        <v>226</v>
      </c>
      <c r="E8" s="834"/>
      <c r="F8" s="836" t="s">
        <v>413</v>
      </c>
      <c r="G8" s="834"/>
      <c r="H8" s="760" t="s">
        <v>414</v>
      </c>
      <c r="I8" s="835"/>
    </row>
    <row r="9" spans="2:9" ht="5.0999999999999996" customHeight="1">
      <c r="B9" s="837"/>
      <c r="C9" s="838"/>
      <c r="D9" s="433"/>
      <c r="E9" s="433"/>
      <c r="F9" s="433"/>
      <c r="G9" s="433"/>
      <c r="H9" s="433"/>
      <c r="I9" s="839"/>
    </row>
    <row r="10" spans="2:9" ht="9" customHeight="1">
      <c r="B10" s="675"/>
      <c r="C10" s="662"/>
      <c r="D10" s="37"/>
      <c r="E10" s="37"/>
      <c r="F10" s="37"/>
      <c r="G10" s="37"/>
      <c r="H10" s="37"/>
      <c r="I10" s="667"/>
    </row>
    <row r="11" spans="2:9" ht="18" customHeight="1">
      <c r="B11" s="664">
        <v>1998</v>
      </c>
      <c r="C11" s="662"/>
      <c r="D11" s="841">
        <v>7890.4210000000003</v>
      </c>
      <c r="E11" s="841"/>
      <c r="F11" s="841">
        <v>7239.4</v>
      </c>
      <c r="G11" s="654"/>
      <c r="H11" s="840">
        <v>0.91749223520519363</v>
      </c>
      <c r="I11" s="424"/>
    </row>
    <row r="12" spans="2:9" ht="18" customHeight="1">
      <c r="B12" s="664">
        <v>1999</v>
      </c>
      <c r="C12" s="662"/>
      <c r="D12" s="841">
        <v>8099.3360000000002</v>
      </c>
      <c r="E12" s="841"/>
      <c r="F12" s="841">
        <v>7630.6730000000007</v>
      </c>
      <c r="G12" s="654"/>
      <c r="H12" s="840">
        <v>0.94213562692052788</v>
      </c>
      <c r="I12" s="424"/>
    </row>
    <row r="13" spans="2:9" ht="18" customHeight="1">
      <c r="B13" s="664">
        <v>2000</v>
      </c>
      <c r="C13" s="662"/>
      <c r="D13" s="841">
        <v>8374.3009590000001</v>
      </c>
      <c r="E13" s="841"/>
      <c r="F13" s="841">
        <v>7849.9619999999995</v>
      </c>
      <c r="G13" s="654"/>
      <c r="H13" s="840">
        <v>0.93738713696019194</v>
      </c>
      <c r="I13" s="424"/>
    </row>
    <row r="14" spans="2:9" ht="18" customHeight="1">
      <c r="B14" s="664">
        <v>2001</v>
      </c>
      <c r="C14" s="662"/>
      <c r="D14" s="841">
        <v>8730.2637119999999</v>
      </c>
      <c r="E14" s="841"/>
      <c r="F14" s="841">
        <v>8245.6</v>
      </c>
      <c r="G14" s="654"/>
      <c r="H14" s="840">
        <v>0.9444846423901474</v>
      </c>
      <c r="I14" s="424"/>
    </row>
    <row r="15" spans="2:9" ht="18" customHeight="1">
      <c r="B15" s="664">
        <v>2002</v>
      </c>
      <c r="C15" s="662"/>
      <c r="D15" s="842">
        <v>9271.2384849999999</v>
      </c>
      <c r="E15" s="842"/>
      <c r="F15" s="842">
        <v>8760.8729999999996</v>
      </c>
      <c r="G15" s="726"/>
      <c r="H15" s="843">
        <v>0.94495174664898074</v>
      </c>
      <c r="I15" s="424"/>
    </row>
    <row r="16" spans="2:9" ht="18" customHeight="1">
      <c r="B16" s="664">
        <v>2003</v>
      </c>
      <c r="C16" s="662"/>
      <c r="D16" s="842">
        <v>10688.76734</v>
      </c>
      <c r="E16" s="842"/>
      <c r="F16" s="842">
        <v>10062.9</v>
      </c>
      <c r="G16" s="726"/>
      <c r="H16" s="843">
        <v>0.94144625660829473</v>
      </c>
      <c r="I16" s="424"/>
    </row>
    <row r="17" spans="2:9" ht="18" customHeight="1">
      <c r="B17" s="664">
        <v>2004</v>
      </c>
      <c r="C17" s="662"/>
      <c r="D17" s="842">
        <v>12250.660984</v>
      </c>
      <c r="E17" s="842"/>
      <c r="F17" s="844">
        <v>11582.3</v>
      </c>
      <c r="G17" s="726"/>
      <c r="H17" s="843">
        <v>0.94544286346076223</v>
      </c>
      <c r="I17" s="424"/>
    </row>
    <row r="18" spans="2:9" ht="18" customHeight="1">
      <c r="B18" s="664">
        <v>2005</v>
      </c>
      <c r="C18" s="662"/>
      <c r="D18" s="842">
        <v>12720.04853</v>
      </c>
      <c r="E18" s="842"/>
      <c r="F18" s="844">
        <v>11615.938539999999</v>
      </c>
      <c r="G18" s="726"/>
      <c r="H18" s="843">
        <v>0.91319923132400183</v>
      </c>
      <c r="I18" s="424"/>
    </row>
    <row r="19" spans="2:9" ht="18" customHeight="1">
      <c r="B19" s="664">
        <v>2006</v>
      </c>
      <c r="C19" s="637"/>
      <c r="D19" s="844">
        <v>13668.1</v>
      </c>
      <c r="E19" s="845"/>
      <c r="F19" s="842">
        <v>12636.355143999999</v>
      </c>
      <c r="G19" s="637"/>
      <c r="H19" s="843">
        <v>0.92451439073463015</v>
      </c>
      <c r="I19" s="424"/>
    </row>
    <row r="20" spans="2:9" ht="18" customHeight="1">
      <c r="B20" s="664">
        <v>2007</v>
      </c>
      <c r="C20" s="637"/>
      <c r="D20" s="844">
        <v>14291.2</v>
      </c>
      <c r="E20" s="845"/>
      <c r="F20" s="842">
        <v>13122.811801</v>
      </c>
      <c r="G20" s="637"/>
      <c r="H20" s="843">
        <v>0.91824422028940877</v>
      </c>
      <c r="I20" s="424"/>
    </row>
    <row r="21" spans="2:9" s="25" customFormat="1" ht="18" customHeight="1">
      <c r="B21" s="668">
        <v>2008</v>
      </c>
      <c r="C21" s="637"/>
      <c r="D21" s="844">
        <v>14356.2</v>
      </c>
      <c r="E21" s="845"/>
      <c r="F21" s="842">
        <v>13203.929931999999</v>
      </c>
      <c r="G21" s="637"/>
      <c r="H21" s="843">
        <v>0.91973711232777466</v>
      </c>
      <c r="I21" s="424"/>
    </row>
    <row r="22" spans="2:9" s="846" customFormat="1" ht="18" customHeight="1">
      <c r="B22" s="668">
        <v>2009</v>
      </c>
      <c r="C22" s="847"/>
      <c r="D22" s="844">
        <v>15903.478107000001</v>
      </c>
      <c r="E22" s="848"/>
      <c r="F22" s="842">
        <v>14487.231341999999</v>
      </c>
      <c r="G22" s="849"/>
      <c r="H22" s="843">
        <v>0.91094735658002801</v>
      </c>
      <c r="I22" s="850"/>
    </row>
    <row r="23" spans="2:9" s="846" customFormat="1" ht="18" customHeight="1">
      <c r="B23" s="668">
        <v>2010</v>
      </c>
      <c r="C23" s="849"/>
      <c r="D23" s="844">
        <v>17588.124488000001</v>
      </c>
      <c r="E23" s="848"/>
      <c r="F23" s="844">
        <v>16369.446932999999</v>
      </c>
      <c r="G23" s="849"/>
      <c r="H23" s="843">
        <v>0.93071020415897787</v>
      </c>
      <c r="I23" s="850"/>
    </row>
    <row r="24" spans="2:9" s="846" customFormat="1" ht="18" customHeight="1">
      <c r="B24" s="668">
        <v>2011</v>
      </c>
      <c r="C24" s="849"/>
      <c r="D24" s="844">
        <v>18323.689138999998</v>
      </c>
      <c r="E24" s="848"/>
      <c r="F24" s="844">
        <v>17086.483859</v>
      </c>
      <c r="G24" s="849"/>
      <c r="H24" s="843">
        <v>0.93248055723851264</v>
      </c>
      <c r="I24" s="850"/>
    </row>
    <row r="25" spans="2:9" s="846" customFormat="1" ht="18" customHeight="1">
      <c r="B25" s="851">
        <v>2012</v>
      </c>
      <c r="C25" s="852"/>
      <c r="D25" s="844">
        <v>19284.647839999998</v>
      </c>
      <c r="E25" s="853"/>
      <c r="F25" s="844">
        <v>18157.722065000002</v>
      </c>
      <c r="G25" s="852"/>
      <c r="H25" s="854">
        <v>0.94156358029714504</v>
      </c>
      <c r="I25" s="855"/>
    </row>
    <row r="26" spans="2:9" s="846" customFormat="1" ht="18" customHeight="1">
      <c r="B26" s="668">
        <v>2013</v>
      </c>
      <c r="C26" s="849"/>
      <c r="D26" s="844">
        <v>20133.099999999999</v>
      </c>
      <c r="E26" s="848"/>
      <c r="F26" s="844">
        <v>18969.610476999998</v>
      </c>
      <c r="G26" s="849"/>
      <c r="H26" s="843">
        <v>0.9422101155311402</v>
      </c>
      <c r="I26" s="850"/>
    </row>
    <row r="27" spans="2:9" s="846" customFormat="1" ht="18" customHeight="1">
      <c r="B27" s="668">
        <v>2014</v>
      </c>
      <c r="C27" s="849"/>
      <c r="D27" s="844">
        <v>21285.240680999999</v>
      </c>
      <c r="E27" s="848"/>
      <c r="F27" s="844">
        <v>20202.022324000001</v>
      </c>
      <c r="G27" s="849"/>
      <c r="H27" s="843">
        <v>0.94910941467686016</v>
      </c>
      <c r="I27" s="850"/>
    </row>
    <row r="28" spans="2:9" ht="18" customHeight="1">
      <c r="B28" s="851">
        <v>2015</v>
      </c>
      <c r="C28" s="820"/>
      <c r="D28" s="844">
        <v>22591.529494999999</v>
      </c>
      <c r="E28" s="845"/>
      <c r="F28" s="844">
        <v>21517.932115</v>
      </c>
      <c r="G28" s="637"/>
      <c r="H28" s="843">
        <v>0.95247787980722554</v>
      </c>
      <c r="I28" s="856"/>
    </row>
    <row r="29" spans="2:9" ht="18" customHeight="1">
      <c r="B29" s="851">
        <v>2016</v>
      </c>
      <c r="C29" s="820"/>
      <c r="D29" s="844">
        <v>24144.998062999999</v>
      </c>
      <c r="E29" s="845"/>
      <c r="F29" s="844">
        <v>23180.583999999999</v>
      </c>
      <c r="G29" s="637"/>
      <c r="H29" s="843">
        <v>0.9600573973754889</v>
      </c>
      <c r="I29" s="856"/>
    </row>
    <row r="30" spans="2:9" ht="18" customHeight="1">
      <c r="B30" s="857">
        <v>2017</v>
      </c>
      <c r="C30" s="813"/>
      <c r="D30" s="858">
        <v>25794.1</v>
      </c>
      <c r="E30" s="859"/>
      <c r="F30" s="858">
        <v>24399.996999999999</v>
      </c>
      <c r="G30" s="813" t="s">
        <v>415</v>
      </c>
      <c r="H30" s="860">
        <v>0.94595264033247917</v>
      </c>
      <c r="I30" s="861"/>
    </row>
    <row r="31" spans="2:9" ht="15.75">
      <c r="B31" s="225" t="s">
        <v>416</v>
      </c>
      <c r="D31" s="25"/>
      <c r="H31" s="862"/>
    </row>
    <row r="32" spans="2:9" ht="15.75">
      <c r="D32" s="25"/>
      <c r="H32" s="862"/>
    </row>
    <row r="33" spans="8:8" ht="15.75">
      <c r="H33" s="862"/>
    </row>
    <row r="34" spans="8:8" ht="15.75">
      <c r="H34" s="862"/>
    </row>
    <row r="35" spans="8:8" ht="15.75">
      <c r="H35" s="862"/>
    </row>
    <row r="36" spans="8:8" ht="15.75">
      <c r="H36" s="862"/>
    </row>
    <row r="37" spans="8:8" ht="15.75">
      <c r="H37" s="862"/>
    </row>
    <row r="38" spans="8:8">
      <c r="H38" s="863"/>
    </row>
    <row r="39" spans="8:8">
      <c r="H39" s="863"/>
    </row>
    <row r="40" spans="8:8">
      <c r="H40" s="863"/>
    </row>
    <row r="41" spans="8:8">
      <c r="H41" s="863"/>
    </row>
    <row r="42" spans="8:8">
      <c r="H42" s="863"/>
    </row>
    <row r="43" spans="8:8">
      <c r="H43" s="863"/>
    </row>
  </sheetData>
  <mergeCells count="1">
    <mergeCell ref="B1:I1"/>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AT42"/>
  <sheetViews>
    <sheetView showGridLines="0" workbookViewId="0"/>
  </sheetViews>
  <sheetFormatPr defaultRowHeight="15"/>
  <cols>
    <col min="1" max="1" width="16.85546875" bestFit="1" customWidth="1"/>
    <col min="3" max="3" width="10.42578125" bestFit="1" customWidth="1"/>
    <col min="4" max="4" width="9.42578125" bestFit="1" customWidth="1"/>
    <col min="5" max="5" width="11.85546875" bestFit="1" customWidth="1"/>
    <col min="6" max="6" width="11" customWidth="1"/>
    <col min="7" max="7" width="12.7109375" customWidth="1"/>
    <col min="8" max="8" width="13" customWidth="1"/>
    <col min="9" max="9" width="11.42578125" customWidth="1"/>
    <col min="10" max="10" width="12.28515625" customWidth="1"/>
    <col min="11" max="11" width="10" customWidth="1"/>
    <col min="12" max="12" width="1.140625" customWidth="1"/>
    <col min="13" max="13" width="10.140625" customWidth="1"/>
    <col min="14" max="14" width="2.28515625" customWidth="1"/>
    <col min="15" max="15" width="14" hidden="1" customWidth="1"/>
    <col min="16" max="16" width="13.140625" hidden="1" customWidth="1"/>
    <col min="17" max="17" width="4.42578125" hidden="1" customWidth="1"/>
    <col min="18" max="22" width="0" hidden="1" customWidth="1"/>
    <col min="23" max="23" width="12.28515625" hidden="1" customWidth="1"/>
    <col min="24" max="43" width="0" hidden="1" customWidth="1"/>
  </cols>
  <sheetData>
    <row r="1" spans="2:20" ht="15.75">
      <c r="B1" s="1081" t="s">
        <v>417</v>
      </c>
      <c r="C1" s="1081"/>
      <c r="D1" s="1081"/>
      <c r="E1" s="1081"/>
      <c r="F1" s="1081"/>
      <c r="G1" s="1081"/>
      <c r="H1" s="1081"/>
      <c r="I1" s="1081"/>
      <c r="J1" s="1081"/>
      <c r="K1" s="1081"/>
      <c r="L1" s="1081"/>
      <c r="M1" s="1081"/>
      <c r="N1" s="1081"/>
    </row>
    <row r="2" spans="2:20">
      <c r="B2" s="1091" t="s">
        <v>418</v>
      </c>
      <c r="C2" s="1091"/>
      <c r="D2" s="1091"/>
      <c r="E2" s="1091"/>
      <c r="F2" s="1091"/>
      <c r="G2" s="1091"/>
      <c r="H2" s="1091"/>
      <c r="I2" s="1091"/>
      <c r="J2" s="1091"/>
      <c r="K2" s="1091"/>
      <c r="L2" s="1091"/>
      <c r="M2" s="1091"/>
      <c r="N2" s="1091"/>
    </row>
    <row r="3" spans="2:20">
      <c r="B3" s="797" t="s">
        <v>272</v>
      </c>
      <c r="C3" s="864"/>
      <c r="D3" s="865"/>
      <c r="E3" s="865"/>
      <c r="F3" s="865"/>
      <c r="G3" s="865"/>
      <c r="H3" s="865"/>
      <c r="I3" s="798"/>
      <c r="J3" s="865"/>
      <c r="K3" s="798"/>
      <c r="L3" s="798"/>
      <c r="M3" s="798"/>
      <c r="N3" s="798"/>
    </row>
    <row r="4" spans="2:20">
      <c r="B4" s="281"/>
      <c r="C4" s="281"/>
      <c r="D4" s="281"/>
      <c r="E4" s="281"/>
      <c r="F4" s="281"/>
      <c r="G4" s="281"/>
      <c r="H4" s="281"/>
      <c r="I4" s="281"/>
      <c r="J4" s="281"/>
      <c r="K4" s="281"/>
      <c r="L4" s="281"/>
      <c r="M4" s="281"/>
      <c r="N4" s="281"/>
    </row>
    <row r="5" spans="2:20" ht="15.75">
      <c r="B5" s="866"/>
      <c r="C5" s="1092" t="s">
        <v>419</v>
      </c>
      <c r="D5" s="1093"/>
      <c r="E5" s="1093"/>
      <c r="F5" s="1093"/>
      <c r="G5" s="1094"/>
      <c r="H5" s="1092" t="s">
        <v>420</v>
      </c>
      <c r="I5" s="1093"/>
      <c r="J5" s="1095"/>
      <c r="K5" s="867"/>
      <c r="L5" s="536"/>
      <c r="M5" s="867"/>
      <c r="N5" s="868"/>
    </row>
    <row r="6" spans="2:20">
      <c r="B6" s="612"/>
      <c r="C6" s="869"/>
      <c r="D6" s="870"/>
      <c r="E6" s="870"/>
      <c r="F6" s="870"/>
      <c r="G6" s="880" t="s">
        <v>421</v>
      </c>
      <c r="H6" s="871" t="s">
        <v>422</v>
      </c>
      <c r="I6" s="870"/>
      <c r="J6" s="872"/>
      <c r="K6" s="281"/>
      <c r="M6" s="281"/>
      <c r="N6" s="805"/>
    </row>
    <row r="7" spans="2:20">
      <c r="B7" s="873"/>
      <c r="C7" s="871"/>
      <c r="D7" s="764"/>
      <c r="E7" s="764"/>
      <c r="F7" s="764"/>
      <c r="G7" s="764" t="s">
        <v>423</v>
      </c>
      <c r="H7" s="871" t="s">
        <v>424</v>
      </c>
      <c r="I7" s="874"/>
      <c r="J7" s="875"/>
      <c r="K7" s="771"/>
      <c r="M7" s="771"/>
      <c r="N7" s="876"/>
    </row>
    <row r="8" spans="2:20">
      <c r="B8" s="877" t="s">
        <v>379</v>
      </c>
      <c r="C8" s="878" t="s">
        <v>265</v>
      </c>
      <c r="D8" s="764" t="s">
        <v>425</v>
      </c>
      <c r="E8" s="764" t="s">
        <v>426</v>
      </c>
      <c r="F8" s="879" t="s">
        <v>427</v>
      </c>
      <c r="G8" s="880" t="s">
        <v>428</v>
      </c>
      <c r="H8" s="881" t="s">
        <v>429</v>
      </c>
      <c r="I8" s="874" t="s">
        <v>430</v>
      </c>
      <c r="J8" s="882" t="s">
        <v>431</v>
      </c>
      <c r="K8" s="1096" t="s">
        <v>432</v>
      </c>
      <c r="L8" s="990"/>
      <c r="M8" s="990"/>
      <c r="N8" s="876"/>
    </row>
    <row r="9" spans="2:20" ht="15.75">
      <c r="B9" s="877" t="s">
        <v>311</v>
      </c>
      <c r="C9" s="883" t="s">
        <v>433</v>
      </c>
      <c r="D9" s="767" t="s">
        <v>434</v>
      </c>
      <c r="E9" s="767" t="s">
        <v>421</v>
      </c>
      <c r="F9" s="884" t="s">
        <v>323</v>
      </c>
      <c r="G9" s="963" t="s">
        <v>435</v>
      </c>
      <c r="H9" s="767" t="s">
        <v>436</v>
      </c>
      <c r="I9" s="885" t="s">
        <v>437</v>
      </c>
      <c r="J9" s="886" t="s">
        <v>435</v>
      </c>
      <c r="K9" s="1089" t="s">
        <v>438</v>
      </c>
      <c r="L9" s="1090"/>
      <c r="M9" s="1090"/>
      <c r="N9" s="887"/>
      <c r="P9" s="888" t="s">
        <v>439</v>
      </c>
      <c r="R9" t="s">
        <v>440</v>
      </c>
    </row>
    <row r="10" spans="2:20" ht="15.75">
      <c r="B10" s="615"/>
      <c r="C10" s="889" t="s">
        <v>441</v>
      </c>
      <c r="D10" s="890" t="s">
        <v>442</v>
      </c>
      <c r="E10" s="890" t="s">
        <v>443</v>
      </c>
      <c r="F10" s="890" t="s">
        <v>444</v>
      </c>
      <c r="G10" s="891" t="s">
        <v>445</v>
      </c>
      <c r="H10" s="890" t="s">
        <v>446</v>
      </c>
      <c r="I10" s="890" t="s">
        <v>447</v>
      </c>
      <c r="J10" s="892" t="s">
        <v>448</v>
      </c>
      <c r="K10" s="890" t="s">
        <v>449</v>
      </c>
      <c r="L10" s="893"/>
      <c r="M10" s="890" t="s">
        <v>450</v>
      </c>
      <c r="N10" s="894"/>
      <c r="O10" s="895" t="s">
        <v>451</v>
      </c>
      <c r="P10" s="888" t="s">
        <v>452</v>
      </c>
      <c r="R10" t="s">
        <v>453</v>
      </c>
    </row>
    <row r="11" spans="2:20" s="906" customFormat="1" ht="15.75">
      <c r="B11" s="903">
        <v>1998</v>
      </c>
      <c r="C11" s="899">
        <v>7890.4210000000003</v>
      </c>
      <c r="D11" s="900">
        <v>1872.896</v>
      </c>
      <c r="E11" s="900">
        <f>C11-D11</f>
        <v>6017.5250000000005</v>
      </c>
      <c r="F11"/>
      <c r="G11" s="896">
        <f>E11-F11</f>
        <v>6017.5250000000005</v>
      </c>
      <c r="H11" s="899">
        <v>7737.09</v>
      </c>
      <c r="I11" s="900">
        <v>48.433</v>
      </c>
      <c r="J11" s="896">
        <f t="shared" ref="J11:J28" si="0">H11-I11</f>
        <v>7688.6570000000002</v>
      </c>
      <c r="K11" s="794">
        <f t="shared" ref="K11:K30" si="1">J11-G11</f>
        <v>1671.1319999999996</v>
      </c>
      <c r="L11" s="772"/>
      <c r="M11" s="897">
        <f t="shared" ref="M11:M30" si="2">K11/J11</f>
        <v>0.21735031228470714</v>
      </c>
      <c r="N11" s="904"/>
      <c r="O11" s="901"/>
      <c r="P11" s="905">
        <v>1665.5</v>
      </c>
      <c r="Q11" s="902"/>
      <c r="R11" s="902">
        <f t="shared" ref="R11:R30" si="3">P11-K11</f>
        <v>-5.6319999999996071</v>
      </c>
    </row>
    <row r="12" spans="2:20" s="906" customFormat="1" ht="15.75">
      <c r="B12" s="903">
        <v>1999</v>
      </c>
      <c r="C12" s="899">
        <v>8099.3360000000002</v>
      </c>
      <c r="D12" s="900">
        <v>1134.2149999999999</v>
      </c>
      <c r="E12" s="900">
        <f t="shared" ref="E12:E28" si="4">C12-D12</f>
        <v>6965.1210000000001</v>
      </c>
      <c r="F12"/>
      <c r="G12" s="896">
        <f t="shared" ref="G12:G28" si="5">E12-F12</f>
        <v>6965.1210000000001</v>
      </c>
      <c r="H12" s="899">
        <v>7237.4269999999997</v>
      </c>
      <c r="I12" s="900">
        <v>52.137</v>
      </c>
      <c r="J12" s="896">
        <f t="shared" si="0"/>
        <v>7185.29</v>
      </c>
      <c r="K12" s="794">
        <f t="shared" si="1"/>
        <v>220.16899999999987</v>
      </c>
      <c r="L12" s="772"/>
      <c r="M12" s="897">
        <f t="shared" si="2"/>
        <v>3.0641630330856495E-2</v>
      </c>
      <c r="N12" s="904"/>
      <c r="O12" s="901"/>
      <c r="P12" s="907">
        <v>862.6</v>
      </c>
      <c r="Q12" s="908"/>
      <c r="R12" s="908">
        <f t="shared" si="3"/>
        <v>642.43100000000015</v>
      </c>
      <c r="S12" s="898" t="s">
        <v>454</v>
      </c>
      <c r="T12" s="898"/>
    </row>
    <row r="13" spans="2:20" ht="15.75">
      <c r="B13" s="773">
        <v>2000</v>
      </c>
      <c r="C13" s="899">
        <v>8374.3009590000001</v>
      </c>
      <c r="D13" s="900">
        <v>1138.8510000000001</v>
      </c>
      <c r="E13" s="900">
        <f t="shared" si="4"/>
        <v>7235.4499589999996</v>
      </c>
      <c r="G13" s="896">
        <f t="shared" si="5"/>
        <v>7235.4499589999996</v>
      </c>
      <c r="H13" s="899">
        <v>7332.9809999999998</v>
      </c>
      <c r="I13" s="900">
        <v>52.137</v>
      </c>
      <c r="J13" s="896">
        <f t="shared" si="0"/>
        <v>7280.8440000000001</v>
      </c>
      <c r="K13" s="794">
        <f t="shared" si="1"/>
        <v>45.39404100000047</v>
      </c>
      <c r="L13" s="772"/>
      <c r="M13" s="897">
        <f t="shared" si="2"/>
        <v>6.2347223755927841E-3</v>
      </c>
      <c r="N13" s="805"/>
      <c r="O13" s="901"/>
      <c r="P13" s="888">
        <v>45.5</v>
      </c>
      <c r="Q13" s="902"/>
      <c r="R13" s="902">
        <f t="shared" si="3"/>
        <v>0.10595899999952962</v>
      </c>
    </row>
    <row r="14" spans="2:20" ht="15.75">
      <c r="B14" s="773">
        <v>2001</v>
      </c>
      <c r="C14" s="899">
        <v>8730.2637119999999</v>
      </c>
      <c r="D14" s="900">
        <v>1274.559</v>
      </c>
      <c r="E14" s="900">
        <f t="shared" si="4"/>
        <v>7455.7047119999997</v>
      </c>
      <c r="G14" s="896">
        <f t="shared" si="5"/>
        <v>7455.7047119999997</v>
      </c>
      <c r="H14" s="900">
        <v>7648.3</v>
      </c>
      <c r="I14" s="900">
        <v>52.222000000000001</v>
      </c>
      <c r="J14" s="896">
        <f t="shared" si="0"/>
        <v>7596.0780000000004</v>
      </c>
      <c r="K14" s="794">
        <f t="shared" si="1"/>
        <v>140.37328800000068</v>
      </c>
      <c r="L14" s="772"/>
      <c r="M14" s="897">
        <f t="shared" si="2"/>
        <v>1.8479705974583288E-2</v>
      </c>
      <c r="N14" s="805"/>
      <c r="O14" s="901"/>
      <c r="P14" s="888">
        <v>140.4</v>
      </c>
      <c r="Q14" s="902"/>
      <c r="R14" s="902">
        <f t="shared" si="3"/>
        <v>2.6711999999321279E-2</v>
      </c>
    </row>
    <row r="15" spans="2:20" ht="15.75">
      <c r="B15" s="773">
        <v>2002</v>
      </c>
      <c r="C15" s="899">
        <v>9271.2384849999999</v>
      </c>
      <c r="D15" s="900">
        <v>1148.8630000000001</v>
      </c>
      <c r="E15" s="900">
        <f t="shared" si="4"/>
        <v>8122.3754849999996</v>
      </c>
      <c r="G15" s="896">
        <f t="shared" si="5"/>
        <v>8122.3754849999996</v>
      </c>
      <c r="H15" s="900">
        <v>8216.8030999999992</v>
      </c>
      <c r="I15" s="900">
        <v>52.295999999999999</v>
      </c>
      <c r="J15" s="896">
        <f t="shared" si="0"/>
        <v>8164.5070999999989</v>
      </c>
      <c r="K15" s="794">
        <f t="shared" si="1"/>
        <v>42.131614999999329</v>
      </c>
      <c r="L15" s="772"/>
      <c r="M15" s="897">
        <f t="shared" si="2"/>
        <v>5.1603378481965357E-3</v>
      </c>
      <c r="N15" s="805"/>
      <c r="O15" s="901"/>
      <c r="P15" s="888">
        <v>42.1</v>
      </c>
      <c r="Q15" s="902"/>
      <c r="R15" s="902">
        <f t="shared" si="3"/>
        <v>-3.1614999999327154E-2</v>
      </c>
    </row>
    <row r="16" spans="2:20" ht="15.75">
      <c r="B16" s="773">
        <v>2003</v>
      </c>
      <c r="C16" s="899">
        <f>9785.627524+903.139816</f>
        <v>10688.76734</v>
      </c>
      <c r="D16" s="900">
        <v>1982.2</v>
      </c>
      <c r="E16" s="900">
        <f t="shared" si="4"/>
        <v>8706.5673399999996</v>
      </c>
      <c r="G16" s="896">
        <f t="shared" si="5"/>
        <v>8706.5673399999996</v>
      </c>
      <c r="H16" s="900">
        <v>8998.3333879999991</v>
      </c>
      <c r="I16" s="900">
        <v>61.261000000000003</v>
      </c>
      <c r="J16" s="896">
        <f t="shared" si="0"/>
        <v>8937.0723879999987</v>
      </c>
      <c r="K16" s="794">
        <f t="shared" si="1"/>
        <v>230.50504799999908</v>
      </c>
      <c r="L16" s="772"/>
      <c r="M16" s="897">
        <f t="shared" si="2"/>
        <v>2.5792008612294918E-2</v>
      </c>
      <c r="N16" s="805"/>
      <c r="O16" s="901"/>
      <c r="P16" s="888">
        <v>230.6</v>
      </c>
      <c r="Q16" s="902"/>
      <c r="R16" s="902">
        <f t="shared" si="3"/>
        <v>9.4952000000915859E-2</v>
      </c>
    </row>
    <row r="17" spans="1:46" ht="15.75">
      <c r="B17" s="773">
        <v>2004</v>
      </c>
      <c r="C17" s="899">
        <v>12250.660984</v>
      </c>
      <c r="D17" s="900">
        <v>2821.1529999999998</v>
      </c>
      <c r="E17" s="900">
        <f t="shared" si="4"/>
        <v>9429.5079839999999</v>
      </c>
      <c r="G17" s="896">
        <f t="shared" si="5"/>
        <v>9429.5079839999999</v>
      </c>
      <c r="H17" s="900">
        <v>9997.7000000000007</v>
      </c>
      <c r="I17" s="900">
        <v>62.115000000000002</v>
      </c>
      <c r="J17" s="896">
        <f t="shared" si="0"/>
        <v>9935.5850000000009</v>
      </c>
      <c r="K17" s="794">
        <f t="shared" si="1"/>
        <v>506.07701600000109</v>
      </c>
      <c r="L17" s="772"/>
      <c r="M17" s="897">
        <f t="shared" si="2"/>
        <v>5.0935804585235903E-2</v>
      </c>
      <c r="N17" s="805"/>
      <c r="O17" s="901"/>
      <c r="P17" s="888">
        <v>506.1</v>
      </c>
      <c r="Q17" s="902"/>
      <c r="R17" s="902">
        <f t="shared" si="3"/>
        <v>2.2983999998928084E-2</v>
      </c>
      <c r="AG17" t="s">
        <v>455</v>
      </c>
    </row>
    <row r="18" spans="1:46" ht="15.75">
      <c r="B18" s="773">
        <v>2005</v>
      </c>
      <c r="C18" s="899">
        <v>12720.04853</v>
      </c>
      <c r="D18" s="900">
        <v>2485.6120000000001</v>
      </c>
      <c r="E18" s="900">
        <f t="shared" si="4"/>
        <v>10234.436529999999</v>
      </c>
      <c r="F18" s="909">
        <v>581</v>
      </c>
      <c r="G18" s="896">
        <f t="shared" si="5"/>
        <v>9653.436529999999</v>
      </c>
      <c r="H18" s="900">
        <v>10778.803</v>
      </c>
      <c r="I18" s="900">
        <v>63.273000000000003</v>
      </c>
      <c r="J18" s="896">
        <f t="shared" si="0"/>
        <v>10715.53</v>
      </c>
      <c r="K18" s="794">
        <f t="shared" si="1"/>
        <v>1062.0934700000016</v>
      </c>
      <c r="L18" s="772"/>
      <c r="M18" s="897">
        <f t="shared" si="2"/>
        <v>9.9117213054324096E-2</v>
      </c>
      <c r="N18" s="805"/>
      <c r="O18" s="908" t="e">
        <f>X34</f>
        <v>#REF!</v>
      </c>
      <c r="P18" s="888">
        <v>1060.5</v>
      </c>
      <c r="Q18" s="902"/>
      <c r="R18" s="902">
        <f t="shared" si="3"/>
        <v>-1.5934700000016164</v>
      </c>
      <c r="AG18" t="s">
        <v>456</v>
      </c>
      <c r="AT18" s="910"/>
    </row>
    <row r="19" spans="1:46" ht="15.75">
      <c r="B19" s="911">
        <v>2006</v>
      </c>
      <c r="C19" s="912">
        <v>13668.1</v>
      </c>
      <c r="D19" s="909">
        <v>1141</v>
      </c>
      <c r="E19" s="900">
        <f t="shared" si="4"/>
        <v>12527.1</v>
      </c>
      <c r="F19" s="909">
        <v>868</v>
      </c>
      <c r="G19" s="896">
        <f t="shared" si="5"/>
        <v>11659.1</v>
      </c>
      <c r="H19" s="909">
        <v>11762.7</v>
      </c>
      <c r="I19" s="909">
        <v>70.3</v>
      </c>
      <c r="J19" s="896">
        <f t="shared" si="0"/>
        <v>11692.400000000001</v>
      </c>
      <c r="K19" s="794">
        <f t="shared" si="1"/>
        <v>33.300000000001091</v>
      </c>
      <c r="L19" s="913"/>
      <c r="M19" s="897">
        <f t="shared" si="2"/>
        <v>2.8480038315487912E-3</v>
      </c>
      <c r="N19" s="914"/>
      <c r="O19" s="908" t="e">
        <f>Y34</f>
        <v>#REF!</v>
      </c>
      <c r="P19" s="888">
        <v>32.700000000000003</v>
      </c>
      <c r="Q19" s="902"/>
      <c r="R19" s="902">
        <f t="shared" si="3"/>
        <v>-0.60000000000108855</v>
      </c>
      <c r="Z19" s="898" t="s">
        <v>457</v>
      </c>
      <c r="AA19" s="898"/>
      <c r="AB19" s="898"/>
      <c r="AG19" t="s">
        <v>458</v>
      </c>
      <c r="AT19" s="910"/>
    </row>
    <row r="20" spans="1:46" ht="17.25" customHeight="1" thickBot="1">
      <c r="B20" s="911">
        <v>2007</v>
      </c>
      <c r="C20" s="912">
        <v>14291.2</v>
      </c>
      <c r="D20" s="909">
        <v>220.98</v>
      </c>
      <c r="E20" s="900">
        <f t="shared" si="4"/>
        <v>14070.220000000001</v>
      </c>
      <c r="F20" s="909">
        <v>939.19000000000233</v>
      </c>
      <c r="G20" s="896">
        <f t="shared" si="5"/>
        <v>13131.029999999999</v>
      </c>
      <c r="H20" s="909">
        <v>13333.88</v>
      </c>
      <c r="I20" s="909">
        <v>72.77</v>
      </c>
      <c r="J20" s="896">
        <f t="shared" si="0"/>
        <v>13261.109999999999</v>
      </c>
      <c r="K20" s="794">
        <f t="shared" si="1"/>
        <v>130.07999999999993</v>
      </c>
      <c r="L20" s="913"/>
      <c r="M20" s="897">
        <f t="shared" si="2"/>
        <v>9.8091336245608347E-3</v>
      </c>
      <c r="N20" s="914"/>
      <c r="O20" s="908"/>
      <c r="P20" s="888">
        <v>130.1</v>
      </c>
      <c r="Q20" s="902"/>
      <c r="R20" s="902">
        <f t="shared" si="3"/>
        <v>2.0000000000067075E-2</v>
      </c>
      <c r="V20" s="915" t="s">
        <v>459</v>
      </c>
      <c r="X20" t="s">
        <v>460</v>
      </c>
      <c r="Y20" t="s">
        <v>460</v>
      </c>
      <c r="Z20" s="898" t="s">
        <v>461</v>
      </c>
      <c r="AA20" s="898"/>
      <c r="AB20" t="s">
        <v>460</v>
      </c>
      <c r="AC20" t="s">
        <v>460</v>
      </c>
      <c r="AD20" t="s">
        <v>460</v>
      </c>
      <c r="AE20" t="s">
        <v>460</v>
      </c>
      <c r="AF20" t="s">
        <v>462</v>
      </c>
      <c r="AG20" t="s">
        <v>460</v>
      </c>
      <c r="AH20" t="s">
        <v>460</v>
      </c>
      <c r="AI20" t="s">
        <v>460</v>
      </c>
      <c r="AJ20" t="s">
        <v>460</v>
      </c>
      <c r="AK20" t="s">
        <v>463</v>
      </c>
      <c r="AT20" s="910"/>
    </row>
    <row r="21" spans="1:46" ht="13.5" customHeight="1">
      <c r="B21" s="445">
        <v>2008</v>
      </c>
      <c r="C21" s="916">
        <v>14356.2</v>
      </c>
      <c r="D21" s="917">
        <v>2952.1</v>
      </c>
      <c r="E21" s="900">
        <f t="shared" si="4"/>
        <v>11404.1</v>
      </c>
      <c r="F21" s="918">
        <v>941.70000000000073</v>
      </c>
      <c r="G21" s="896">
        <f t="shared" si="5"/>
        <v>10462.4</v>
      </c>
      <c r="H21" s="917">
        <v>15025.6</v>
      </c>
      <c r="I21" s="909">
        <v>76.599999999999994</v>
      </c>
      <c r="J21" s="896">
        <f t="shared" si="0"/>
        <v>14949</v>
      </c>
      <c r="K21" s="794">
        <f t="shared" si="1"/>
        <v>4486.6000000000004</v>
      </c>
      <c r="L21" s="772"/>
      <c r="M21" s="897">
        <f t="shared" si="2"/>
        <v>0.30012709880259553</v>
      </c>
      <c r="N21" s="805"/>
      <c r="O21" s="908"/>
      <c r="P21" s="888">
        <v>4486.7</v>
      </c>
      <c r="Q21" s="902"/>
      <c r="R21" s="902">
        <f t="shared" si="3"/>
        <v>9.9999999999454303E-2</v>
      </c>
      <c r="V21" s="919" t="s">
        <v>464</v>
      </c>
      <c r="W21" s="920"/>
      <c r="X21" s="921" t="s">
        <v>465</v>
      </c>
      <c r="Y21" s="921" t="s">
        <v>466</v>
      </c>
      <c r="Z21" s="921" t="s">
        <v>467</v>
      </c>
      <c r="AA21" s="921" t="s">
        <v>468</v>
      </c>
      <c r="AB21" s="921" t="s">
        <v>469</v>
      </c>
      <c r="AC21" s="921" t="s">
        <v>470</v>
      </c>
      <c r="AD21" s="921" t="s">
        <v>471</v>
      </c>
      <c r="AE21" s="921" t="s">
        <v>472</v>
      </c>
      <c r="AF21" s="921" t="s">
        <v>473</v>
      </c>
      <c r="AG21" s="922" t="s">
        <v>474</v>
      </c>
      <c r="AH21" s="921" t="s">
        <v>475</v>
      </c>
      <c r="AI21" s="921" t="s">
        <v>476</v>
      </c>
      <c r="AJ21" s="923" t="s">
        <v>269</v>
      </c>
      <c r="AT21" s="910"/>
    </row>
    <row r="22" spans="1:46" s="352" customFormat="1" ht="15.75">
      <c r="B22" s="456">
        <v>2009</v>
      </c>
      <c r="C22" s="924">
        <f>15327.5+575.978107</f>
        <v>15903.478107000001</v>
      </c>
      <c r="D22" s="918">
        <v>1168.9000000000001</v>
      </c>
      <c r="E22" s="900">
        <f t="shared" si="4"/>
        <v>14734.578107000001</v>
      </c>
      <c r="F22" s="918">
        <v>945</v>
      </c>
      <c r="G22" s="925">
        <f t="shared" si="5"/>
        <v>13789.578107000001</v>
      </c>
      <c r="H22" s="918">
        <v>17604.7</v>
      </c>
      <c r="I22" s="909">
        <v>79</v>
      </c>
      <c r="J22" s="896">
        <f t="shared" si="0"/>
        <v>17525.7</v>
      </c>
      <c r="K22" s="926">
        <f t="shared" si="1"/>
        <v>3736.1218929999995</v>
      </c>
      <c r="L22" s="913"/>
      <c r="M22" s="927">
        <f t="shared" si="2"/>
        <v>0.21317961011543043</v>
      </c>
      <c r="N22" s="928"/>
      <c r="O22" s="908" t="e">
        <f>AB34</f>
        <v>#REF!</v>
      </c>
      <c r="P22" s="907">
        <v>4312.1000000000004</v>
      </c>
      <c r="Q22" s="908"/>
      <c r="R22" s="908">
        <f t="shared" si="3"/>
        <v>575.97810700000082</v>
      </c>
      <c r="S22" s="898" t="s">
        <v>477</v>
      </c>
      <c r="T22" s="898"/>
      <c r="U22" s="898"/>
      <c r="V22" s="929" t="s">
        <v>478</v>
      </c>
      <c r="W22" s="354"/>
      <c r="X22" s="930">
        <v>71</v>
      </c>
      <c r="Y22" s="930">
        <v>83</v>
      </c>
      <c r="Z22" s="930"/>
      <c r="AA22" s="930"/>
      <c r="AB22" s="930">
        <v>101</v>
      </c>
      <c r="AC22" s="930">
        <v>124</v>
      </c>
      <c r="AD22" s="930">
        <v>123</v>
      </c>
      <c r="AE22" s="930">
        <v>140</v>
      </c>
      <c r="AF22" s="930">
        <v>144</v>
      </c>
      <c r="AG22" s="931">
        <v>173.9</v>
      </c>
      <c r="AH22" s="930">
        <v>186.9</v>
      </c>
      <c r="AI22" s="930">
        <v>194.9</v>
      </c>
      <c r="AJ22" s="932">
        <v>176.9</v>
      </c>
      <c r="AT22" s="910"/>
    </row>
    <row r="23" spans="1:46" ht="15.75">
      <c r="B23" s="445">
        <v>2010</v>
      </c>
      <c r="C23" s="916">
        <v>17588.124488000001</v>
      </c>
      <c r="D23" s="917">
        <v>295.75903399999999</v>
      </c>
      <c r="E23" s="900">
        <f t="shared" si="4"/>
        <v>17292.365454000003</v>
      </c>
      <c r="F23" s="918">
        <v>823</v>
      </c>
      <c r="G23" s="896">
        <f t="shared" si="5"/>
        <v>16469.365454000003</v>
      </c>
      <c r="H23" s="917">
        <v>18726.064499</v>
      </c>
      <c r="I23" s="900">
        <v>84.496407000000005</v>
      </c>
      <c r="J23" s="896">
        <f t="shared" si="0"/>
        <v>18641.568092000001</v>
      </c>
      <c r="K23" s="794">
        <f t="shared" si="1"/>
        <v>2172.2026379999988</v>
      </c>
      <c r="L23" s="772"/>
      <c r="M23" s="897">
        <f t="shared" si="2"/>
        <v>0.11652467363688122</v>
      </c>
      <c r="N23" s="933"/>
      <c r="O23" s="908" t="e">
        <f>AC34</f>
        <v>#REF!</v>
      </c>
      <c r="P23" s="888">
        <v>2169.1</v>
      </c>
      <c r="Q23" s="902"/>
      <c r="R23" s="902">
        <f t="shared" si="3"/>
        <v>-3.1026379999989331</v>
      </c>
      <c r="V23" s="640" t="s">
        <v>479</v>
      </c>
      <c r="W23" s="637"/>
      <c r="X23" s="934">
        <v>99</v>
      </c>
      <c r="Y23" s="934">
        <v>107</v>
      </c>
      <c r="Z23" s="934"/>
      <c r="AA23" s="934"/>
      <c r="AB23" s="934">
        <v>115</v>
      </c>
      <c r="AC23" s="934">
        <v>120</v>
      </c>
      <c r="AD23" s="934">
        <v>116</v>
      </c>
      <c r="AE23" s="934">
        <v>116</v>
      </c>
      <c r="AF23" s="934">
        <v>96</v>
      </c>
      <c r="AG23" s="935">
        <v>98</v>
      </c>
      <c r="AH23" s="934">
        <v>103</v>
      </c>
      <c r="AI23" s="934">
        <v>110</v>
      </c>
      <c r="AJ23" s="936">
        <v>118</v>
      </c>
      <c r="AT23" s="910"/>
    </row>
    <row r="24" spans="1:46" ht="15.75">
      <c r="B24" s="445">
        <v>2011</v>
      </c>
      <c r="C24" s="916">
        <v>18323.689138999998</v>
      </c>
      <c r="D24" s="917">
        <v>921.21135800000002</v>
      </c>
      <c r="E24" s="900">
        <f t="shared" si="4"/>
        <v>17402.477780999998</v>
      </c>
      <c r="F24" s="918">
        <v>914</v>
      </c>
      <c r="G24" s="896">
        <f t="shared" si="5"/>
        <v>16488.477780999998</v>
      </c>
      <c r="H24" s="917">
        <v>19056.100939</v>
      </c>
      <c r="I24" s="900">
        <v>83.021324000000007</v>
      </c>
      <c r="J24" s="896">
        <f t="shared" si="0"/>
        <v>18973.079614999999</v>
      </c>
      <c r="K24" s="794">
        <f t="shared" si="1"/>
        <v>2484.601834000001</v>
      </c>
      <c r="L24" s="772"/>
      <c r="M24" s="897">
        <f t="shared" si="2"/>
        <v>0.13095406146062288</v>
      </c>
      <c r="N24" s="933"/>
      <c r="O24" s="908" t="e">
        <f>AD34</f>
        <v>#REF!</v>
      </c>
      <c r="P24" s="888">
        <v>2480</v>
      </c>
      <c r="Q24" s="902"/>
      <c r="R24" s="902">
        <f t="shared" si="3"/>
        <v>-4.601834000000963</v>
      </c>
      <c r="V24" s="640" t="s">
        <v>260</v>
      </c>
      <c r="W24" s="637"/>
      <c r="X24" s="934">
        <v>266</v>
      </c>
      <c r="Y24" s="934">
        <v>279</v>
      </c>
      <c r="Z24" s="934"/>
      <c r="AA24" s="934"/>
      <c r="AB24" s="934">
        <v>329</v>
      </c>
      <c r="AC24" s="934">
        <v>382</v>
      </c>
      <c r="AD24" s="934">
        <v>411</v>
      </c>
      <c r="AE24" s="934">
        <v>444</v>
      </c>
      <c r="AF24" s="934">
        <v>466</v>
      </c>
      <c r="AG24" s="935">
        <v>453.4</v>
      </c>
      <c r="AH24" s="934">
        <v>416</v>
      </c>
      <c r="AI24" s="934">
        <v>437</v>
      </c>
      <c r="AJ24" s="936">
        <v>477</v>
      </c>
      <c r="AT24" s="910"/>
    </row>
    <row r="25" spans="1:46" ht="15.75">
      <c r="B25" s="445">
        <v>2012</v>
      </c>
      <c r="C25" s="916">
        <f>19284.54784+0.1</f>
        <v>19284.647839999998</v>
      </c>
      <c r="D25" s="917">
        <v>1135.5423840000001</v>
      </c>
      <c r="E25" s="900">
        <f t="shared" si="4"/>
        <v>18149.105455999998</v>
      </c>
      <c r="F25" s="918">
        <v>968</v>
      </c>
      <c r="G25" s="896">
        <f t="shared" si="5"/>
        <v>17181.105455999998</v>
      </c>
      <c r="H25" s="917">
        <v>19024.173481999998</v>
      </c>
      <c r="I25" s="900">
        <v>88.199287999999996</v>
      </c>
      <c r="J25" s="896">
        <f t="shared" si="0"/>
        <v>18935.974193999999</v>
      </c>
      <c r="K25" s="794">
        <f t="shared" si="1"/>
        <v>1754.868738000001</v>
      </c>
      <c r="L25" s="772"/>
      <c r="M25" s="897">
        <f t="shared" si="2"/>
        <v>9.2673802785179338E-2</v>
      </c>
      <c r="N25" s="933"/>
      <c r="O25" s="908" t="e">
        <f>AE34</f>
        <v>#REF!</v>
      </c>
      <c r="P25" s="888">
        <v>1754.9</v>
      </c>
      <c r="Q25" s="902"/>
      <c r="R25" s="902">
        <f t="shared" si="3"/>
        <v>3.1261999999060208E-2</v>
      </c>
      <c r="V25" s="640" t="s">
        <v>480</v>
      </c>
      <c r="W25" s="637"/>
      <c r="X25" s="934">
        <f>21+8</f>
        <v>29</v>
      </c>
      <c r="Y25" s="934">
        <f>22+7</f>
        <v>29</v>
      </c>
      <c r="Z25" s="934"/>
      <c r="AA25" s="934"/>
      <c r="AB25" s="934">
        <f>37+6</f>
        <v>43</v>
      </c>
      <c r="AC25" s="934">
        <v>45</v>
      </c>
      <c r="AD25" s="934">
        <v>64</v>
      </c>
      <c r="AE25" s="934">
        <v>64</v>
      </c>
      <c r="AF25" s="934">
        <v>66.099999999999994</v>
      </c>
      <c r="AG25" s="935">
        <v>59.1</v>
      </c>
      <c r="AH25" s="934">
        <v>62.1</v>
      </c>
      <c r="AI25" s="934">
        <v>63.1</v>
      </c>
      <c r="AJ25" s="936">
        <v>68.099999999999994</v>
      </c>
      <c r="AT25" s="910"/>
    </row>
    <row r="26" spans="1:46" ht="15.75">
      <c r="B26" s="445">
        <v>2013</v>
      </c>
      <c r="C26" s="916">
        <v>20133.099999999999</v>
      </c>
      <c r="D26" s="917">
        <v>2896.2</v>
      </c>
      <c r="E26" s="900">
        <f t="shared" si="4"/>
        <v>17236.899999999998</v>
      </c>
      <c r="F26" s="918">
        <v>976.59999999999991</v>
      </c>
      <c r="G26" s="896">
        <f t="shared" si="5"/>
        <v>16260.299999999997</v>
      </c>
      <c r="H26" s="917">
        <v>19213.2</v>
      </c>
      <c r="I26" s="909">
        <v>93.8</v>
      </c>
      <c r="J26" s="896">
        <f t="shared" si="0"/>
        <v>19119.400000000001</v>
      </c>
      <c r="K26" s="794">
        <f t="shared" si="1"/>
        <v>2859.100000000004</v>
      </c>
      <c r="L26" s="772"/>
      <c r="M26" s="897">
        <f t="shared" si="2"/>
        <v>0.14953921148153204</v>
      </c>
      <c r="N26" s="933"/>
      <c r="O26" s="908" t="e">
        <f>AF34</f>
        <v>#REF!</v>
      </c>
      <c r="P26" s="888">
        <v>2861.5</v>
      </c>
      <c r="Q26" s="902"/>
      <c r="R26" s="902">
        <f t="shared" si="3"/>
        <v>2.3999999999959982</v>
      </c>
      <c r="V26" s="640" t="s">
        <v>481</v>
      </c>
      <c r="W26" s="637"/>
      <c r="X26" s="934"/>
      <c r="Y26" s="934"/>
      <c r="Z26" s="934"/>
      <c r="AA26" s="934"/>
      <c r="AB26" s="934"/>
      <c r="AC26" s="934">
        <v>2</v>
      </c>
      <c r="AD26" s="934">
        <v>3</v>
      </c>
      <c r="AE26" s="934">
        <v>3</v>
      </c>
      <c r="AF26" s="934"/>
      <c r="AG26" s="935">
        <v>2.2999999999999998</v>
      </c>
      <c r="AH26" s="934">
        <v>2.5</v>
      </c>
      <c r="AI26" s="934">
        <v>2.5</v>
      </c>
      <c r="AJ26" s="936">
        <v>2.5</v>
      </c>
      <c r="AT26" s="910"/>
    </row>
    <row r="27" spans="1:46" ht="15.75">
      <c r="A27" s="352"/>
      <c r="B27" s="456">
        <v>2014</v>
      </c>
      <c r="C27" s="924">
        <v>21285.240680999999</v>
      </c>
      <c r="D27" s="918">
        <v>1435.8</v>
      </c>
      <c r="E27" s="900">
        <f t="shared" si="4"/>
        <v>19849.440681</v>
      </c>
      <c r="F27" s="918">
        <v>994.99999999999977</v>
      </c>
      <c r="G27" s="896">
        <f t="shared" si="5"/>
        <v>18854.440681</v>
      </c>
      <c r="H27" s="918">
        <v>19775.099999999999</v>
      </c>
      <c r="I27" s="909">
        <v>98.8</v>
      </c>
      <c r="J27" s="896">
        <f t="shared" si="0"/>
        <v>19676.3</v>
      </c>
      <c r="K27" s="794">
        <f t="shared" si="1"/>
        <v>821.85931899999923</v>
      </c>
      <c r="L27" s="913"/>
      <c r="M27" s="897">
        <f t="shared" si="2"/>
        <v>4.176899716918319E-2</v>
      </c>
      <c r="N27" s="933"/>
      <c r="O27" s="908" t="e">
        <f>AG34</f>
        <v>#REF!</v>
      </c>
      <c r="P27" s="888">
        <v>818.9</v>
      </c>
      <c r="Q27" s="902"/>
      <c r="R27" s="902">
        <f t="shared" si="3"/>
        <v>-2.9593189999992546</v>
      </c>
      <c r="V27" s="640" t="s">
        <v>482</v>
      </c>
      <c r="W27" s="637"/>
      <c r="X27" s="934"/>
      <c r="Y27" s="934"/>
      <c r="Z27" s="934"/>
      <c r="AA27" s="934"/>
      <c r="AB27" s="934"/>
      <c r="AC27" s="934"/>
      <c r="AD27" s="934"/>
      <c r="AE27" s="934"/>
      <c r="AF27" s="934"/>
      <c r="AG27" s="935"/>
      <c r="AH27" s="934">
        <v>4</v>
      </c>
      <c r="AI27" s="934"/>
      <c r="AJ27" s="936"/>
      <c r="AT27" s="910"/>
    </row>
    <row r="28" spans="1:46" ht="15.75">
      <c r="A28" s="352"/>
      <c r="B28" s="456">
        <v>2015</v>
      </c>
      <c r="C28" s="924">
        <v>22591.529494999999</v>
      </c>
      <c r="D28" s="918">
        <v>3623.49</v>
      </c>
      <c r="E28" s="900">
        <f t="shared" si="4"/>
        <v>18968.039494999997</v>
      </c>
      <c r="F28" s="918">
        <v>966.3</v>
      </c>
      <c r="G28" s="896">
        <f t="shared" si="5"/>
        <v>18001.739494999998</v>
      </c>
      <c r="H28" s="918">
        <v>20338.72</v>
      </c>
      <c r="I28" s="909">
        <v>100.03700000000001</v>
      </c>
      <c r="J28" s="896">
        <f t="shared" si="0"/>
        <v>20238.683000000001</v>
      </c>
      <c r="K28" s="794">
        <f t="shared" si="1"/>
        <v>2236.9435050000029</v>
      </c>
      <c r="L28" s="913"/>
      <c r="M28" s="897">
        <f t="shared" si="2"/>
        <v>0.11052811613285325</v>
      </c>
      <c r="N28" s="933"/>
      <c r="O28" s="908" t="e">
        <f>AH34</f>
        <v>#REF!</v>
      </c>
      <c r="P28" s="907">
        <v>2241</v>
      </c>
      <c r="Q28" s="908"/>
      <c r="R28" s="908">
        <f t="shared" si="3"/>
        <v>4.056494999997085</v>
      </c>
      <c r="S28" s="898" t="s">
        <v>483</v>
      </c>
      <c r="V28" s="640" t="s">
        <v>484</v>
      </c>
      <c r="W28" s="637"/>
      <c r="X28" s="934">
        <v>9</v>
      </c>
      <c r="Y28" s="934">
        <v>8</v>
      </c>
      <c r="Z28" s="934"/>
      <c r="AA28" s="934"/>
      <c r="AB28" s="934">
        <v>8</v>
      </c>
      <c r="AC28" s="934">
        <v>9</v>
      </c>
      <c r="AD28" s="934">
        <v>6</v>
      </c>
      <c r="AE28" s="934">
        <v>6</v>
      </c>
      <c r="AF28" s="934">
        <v>3.5</v>
      </c>
      <c r="AG28" s="935">
        <v>2.5</v>
      </c>
      <c r="AH28" s="934">
        <v>9</v>
      </c>
      <c r="AI28" s="934">
        <v>10</v>
      </c>
      <c r="AJ28" s="936">
        <v>30</v>
      </c>
      <c r="AT28" s="910"/>
    </row>
    <row r="29" spans="1:46" ht="15.75">
      <c r="A29" s="352"/>
      <c r="B29" s="456">
        <v>2016</v>
      </c>
      <c r="C29" s="924">
        <v>24144.998100000001</v>
      </c>
      <c r="D29" s="918">
        <v>2310.5864099999999</v>
      </c>
      <c r="E29" s="900">
        <f>C29-D29</f>
        <v>21834.411690000001</v>
      </c>
      <c r="F29" s="918">
        <v>1009.4916490000001</v>
      </c>
      <c r="G29" s="896">
        <f>E29-F29</f>
        <v>20824.920041000001</v>
      </c>
      <c r="H29" s="918">
        <v>21296.034554999998</v>
      </c>
      <c r="I29" s="909">
        <v>101.53550199999999</v>
      </c>
      <c r="J29" s="896">
        <f>H29-I29</f>
        <v>21194.499053</v>
      </c>
      <c r="K29" s="706">
        <f t="shared" si="1"/>
        <v>369.57901199999833</v>
      </c>
      <c r="L29" s="913"/>
      <c r="M29" s="937">
        <f t="shared" si="2"/>
        <v>1.7437496921999005E-2</v>
      </c>
      <c r="N29" s="933"/>
      <c r="O29" s="908" t="e">
        <f>AI34</f>
        <v>#REF!</v>
      </c>
      <c r="P29" s="888">
        <v>369.4</v>
      </c>
      <c r="Q29" s="902"/>
      <c r="R29" s="902">
        <f t="shared" si="3"/>
        <v>-0.17901199999835171</v>
      </c>
      <c r="V29" s="640" t="s">
        <v>485</v>
      </c>
      <c r="W29" s="637"/>
      <c r="X29" s="934">
        <v>14</v>
      </c>
      <c r="Y29" s="934">
        <v>15</v>
      </c>
      <c r="Z29" s="934"/>
      <c r="AA29" s="934"/>
      <c r="AB29" s="934">
        <v>25</v>
      </c>
      <c r="AC29" s="934">
        <v>15</v>
      </c>
      <c r="AD29" s="934">
        <v>16</v>
      </c>
      <c r="AE29" s="934">
        <v>17</v>
      </c>
      <c r="AF29" s="934">
        <v>17</v>
      </c>
      <c r="AG29" s="935">
        <v>18</v>
      </c>
      <c r="AH29" s="934">
        <v>20</v>
      </c>
      <c r="AI29" s="934">
        <v>22</v>
      </c>
      <c r="AJ29" s="936">
        <v>21</v>
      </c>
      <c r="AT29" s="910"/>
    </row>
    <row r="30" spans="1:46" ht="14.25" customHeight="1">
      <c r="A30" s="352"/>
      <c r="B30" s="466">
        <v>2017</v>
      </c>
      <c r="C30" s="938">
        <v>25794.073413999999</v>
      </c>
      <c r="D30" s="939">
        <v>2353.6021219999998</v>
      </c>
      <c r="E30" s="940">
        <f>C30-D30</f>
        <v>23440.471291999998</v>
      </c>
      <c r="F30" s="939">
        <v>1062.3</v>
      </c>
      <c r="G30" s="941">
        <f>E30-F30</f>
        <v>22378.171291999999</v>
      </c>
      <c r="H30" s="938">
        <v>22559.037268</v>
      </c>
      <c r="I30" s="942">
        <v>106.64389</v>
      </c>
      <c r="J30" s="943">
        <f>H30-I30</f>
        <v>22452.393378000001</v>
      </c>
      <c r="K30" s="944">
        <f t="shared" si="1"/>
        <v>74.222086000001582</v>
      </c>
      <c r="L30" s="945"/>
      <c r="M30" s="946">
        <f t="shared" si="2"/>
        <v>3.3057538566346411E-3</v>
      </c>
      <c r="N30" s="947"/>
      <c r="O30" s="908">
        <v>1062.3</v>
      </c>
      <c r="P30" s="948">
        <v>74.2</v>
      </c>
      <c r="Q30" s="949"/>
      <c r="R30" s="949">
        <f t="shared" si="3"/>
        <v>-2.2086000001579009E-2</v>
      </c>
      <c r="V30" s="950" t="s">
        <v>486</v>
      </c>
      <c r="W30" s="951"/>
      <c r="X30" s="952">
        <v>5</v>
      </c>
      <c r="Y30" s="952">
        <v>6</v>
      </c>
      <c r="Z30" s="952"/>
      <c r="AA30" s="952"/>
      <c r="AB30" s="952">
        <v>13</v>
      </c>
      <c r="AC30" s="952">
        <v>16</v>
      </c>
      <c r="AD30" s="952">
        <v>15</v>
      </c>
      <c r="AE30" s="952">
        <v>16</v>
      </c>
      <c r="AF30" s="952">
        <v>19</v>
      </c>
      <c r="AG30" s="953">
        <v>21</v>
      </c>
      <c r="AH30" s="952"/>
      <c r="AI30" s="952"/>
      <c r="AJ30" s="954"/>
    </row>
    <row r="31" spans="1:46" ht="15.75">
      <c r="B31" s="492"/>
      <c r="C31" s="918"/>
      <c r="D31" s="918"/>
      <c r="E31" s="900"/>
      <c r="F31" s="918"/>
      <c r="G31" s="909"/>
      <c r="H31" s="918"/>
      <c r="I31" s="909"/>
      <c r="J31" s="900"/>
      <c r="K31" s="706"/>
      <c r="L31" s="913"/>
      <c r="M31" s="937"/>
      <c r="N31" s="281"/>
      <c r="O31" s="901" t="s">
        <v>487</v>
      </c>
      <c r="P31" s="888"/>
      <c r="Q31" s="902"/>
      <c r="R31" s="902"/>
      <c r="V31" s="640" t="s">
        <v>488</v>
      </c>
      <c r="W31" s="637"/>
      <c r="X31" s="934"/>
      <c r="Y31" s="934">
        <v>256</v>
      </c>
      <c r="Z31" s="934"/>
      <c r="AA31" s="934"/>
      <c r="AB31" s="934">
        <v>256</v>
      </c>
      <c r="AC31" s="934"/>
      <c r="AD31" s="934"/>
      <c r="AE31" s="934"/>
      <c r="AF31" s="934"/>
      <c r="AG31" s="935"/>
      <c r="AH31" s="934"/>
      <c r="AI31" s="934"/>
      <c r="AJ31" s="936"/>
    </row>
    <row r="32" spans="1:46">
      <c r="B32" s="281"/>
      <c r="C32" s="281"/>
      <c r="D32" s="281"/>
      <c r="E32" s="281"/>
      <c r="F32" s="918"/>
      <c r="G32" s="955"/>
      <c r="H32" s="609"/>
      <c r="I32" s="609"/>
      <c r="J32" s="281"/>
      <c r="K32" s="281"/>
      <c r="L32" s="281"/>
      <c r="M32" s="281"/>
      <c r="N32" s="281"/>
      <c r="O32" s="898" t="s">
        <v>489</v>
      </c>
      <c r="V32" s="640"/>
      <c r="W32" s="637"/>
      <c r="X32" s="934"/>
      <c r="Y32" s="934"/>
      <c r="Z32" s="934"/>
      <c r="AA32" s="934"/>
      <c r="AB32" s="934"/>
      <c r="AC32" s="934"/>
      <c r="AD32" s="934"/>
      <c r="AE32" s="934"/>
      <c r="AF32" s="934"/>
      <c r="AG32" s="935"/>
      <c r="AH32" s="934"/>
      <c r="AI32" s="934"/>
      <c r="AJ32" s="936"/>
    </row>
    <row r="33" spans="2:36">
      <c r="B33" s="256" t="s">
        <v>490</v>
      </c>
      <c r="I33" s="281"/>
      <c r="J33" s="281"/>
      <c r="K33" s="281"/>
      <c r="L33" s="281"/>
      <c r="M33" s="281"/>
      <c r="N33" s="281"/>
      <c r="O33" s="898" t="s">
        <v>491</v>
      </c>
      <c r="V33" s="640" t="s">
        <v>492</v>
      </c>
      <c r="W33" s="637"/>
      <c r="X33" s="934">
        <v>23</v>
      </c>
      <c r="Y33" s="934">
        <v>33</v>
      </c>
      <c r="Z33" s="934"/>
      <c r="AA33" s="934"/>
      <c r="AB33" s="934">
        <v>37</v>
      </c>
      <c r="AC33" s="934">
        <v>39</v>
      </c>
      <c r="AD33" s="934">
        <v>31</v>
      </c>
      <c r="AE33" s="934">
        <v>33</v>
      </c>
      <c r="AF33" s="934">
        <v>27</v>
      </c>
      <c r="AG33" s="935">
        <v>33.6</v>
      </c>
      <c r="AH33" s="934">
        <v>33.6</v>
      </c>
      <c r="AI33" s="934">
        <v>35</v>
      </c>
      <c r="AJ33" s="936">
        <v>35.17</v>
      </c>
    </row>
    <row r="34" spans="2:36" ht="15.75" thickBot="1">
      <c r="C34" s="225"/>
      <c r="I34" s="281"/>
      <c r="J34" s="281"/>
      <c r="K34" s="281"/>
      <c r="L34" s="281"/>
      <c r="M34" s="281"/>
      <c r="N34" s="281"/>
      <c r="O34" s="898" t="s">
        <v>493</v>
      </c>
      <c r="V34" s="956" t="s">
        <v>494</v>
      </c>
      <c r="W34" s="957"/>
      <c r="X34" s="958" t="e">
        <f>SUM(X22:X31)-X33-#REF!-X30</f>
        <v>#REF!</v>
      </c>
      <c r="Y34" s="958" t="e">
        <f>SUM(Y22:Y31)-Y33-#REF!-Y30</f>
        <v>#REF!</v>
      </c>
      <c r="Z34" s="957" t="e">
        <f>SUM(Z22:Z31)-Z33-#REF!</f>
        <v>#REF!</v>
      </c>
      <c r="AA34" s="957" t="e">
        <f>SUM(AA22:AA31)-AA33-#REF!</f>
        <v>#REF!</v>
      </c>
      <c r="AB34" s="958" t="e">
        <f>SUM(AB22:AB31)-AB33-#REF!-AB30</f>
        <v>#REF!</v>
      </c>
      <c r="AC34" s="958" t="e">
        <f>SUM(AC22:AC31)-AC33-#REF!-AC30</f>
        <v>#REF!</v>
      </c>
      <c r="AD34" s="958" t="e">
        <f>SUM(AD22:AD31)-AD33-#REF!-AD30</f>
        <v>#REF!</v>
      </c>
      <c r="AE34" s="958" t="e">
        <f>SUM(AE22:AE31)-AE33-#REF!-AE30</f>
        <v>#REF!</v>
      </c>
      <c r="AF34" s="958" t="e">
        <f>SUM(AF22:AF31)-AF33-#REF!-AF30</f>
        <v>#REF!</v>
      </c>
      <c r="AG34" s="959" t="e">
        <f>SUM(AG22:AG31)-AG33-#REF!-AG30</f>
        <v>#REF!</v>
      </c>
      <c r="AH34" s="958" t="e">
        <f>SUM(AH22:AH31)-AH33-#REF!-AH30-AH27</f>
        <v>#REF!</v>
      </c>
      <c r="AI34" s="958" t="e">
        <f>SUM(AI22:AI31)-AI33-#REF!-AI30</f>
        <v>#REF!</v>
      </c>
      <c r="AJ34" s="960" t="e">
        <f>SUM(AJ22:AJ31)-AJ33-#REF!-AJ30</f>
        <v>#REF!</v>
      </c>
    </row>
    <row r="35" spans="2:36">
      <c r="B35" s="225" t="s">
        <v>495</v>
      </c>
      <c r="O35" s="898" t="s">
        <v>496</v>
      </c>
      <c r="AH35" t="s">
        <v>497</v>
      </c>
    </row>
    <row r="36" spans="2:36">
      <c r="B36" s="225" t="s">
        <v>498</v>
      </c>
      <c r="O36" s="898"/>
    </row>
    <row r="37" spans="2:36">
      <c r="B37" s="961" t="s">
        <v>499</v>
      </c>
      <c r="O37" s="898" t="s">
        <v>500</v>
      </c>
      <c r="AH37" t="s">
        <v>501</v>
      </c>
    </row>
    <row r="38" spans="2:36">
      <c r="B38" s="961" t="s">
        <v>502</v>
      </c>
      <c r="O38" s="898" t="s">
        <v>503</v>
      </c>
      <c r="AH38" t="s">
        <v>504</v>
      </c>
    </row>
    <row r="39" spans="2:36">
      <c r="C39" s="256"/>
      <c r="D39" s="256"/>
      <c r="E39" s="256"/>
      <c r="F39" s="256"/>
      <c r="G39" s="493"/>
      <c r="H39" s="256"/>
      <c r="I39" s="281"/>
      <c r="J39" s="281"/>
      <c r="O39" s="898"/>
    </row>
    <row r="40" spans="2:36">
      <c r="B40" s="256"/>
      <c r="C40" s="256"/>
      <c r="D40" s="256"/>
      <c r="E40" s="256"/>
      <c r="F40" s="256"/>
      <c r="G40" s="493"/>
      <c r="H40" s="256"/>
      <c r="I40" s="281"/>
      <c r="J40" s="281"/>
    </row>
    <row r="41" spans="2:36">
      <c r="B41" s="962"/>
      <c r="C41" s="256"/>
      <c r="D41" s="256"/>
      <c r="E41" s="256"/>
      <c r="F41" s="256"/>
      <c r="G41" s="493"/>
      <c r="H41" s="256"/>
      <c r="I41" s="281"/>
      <c r="J41" s="281"/>
    </row>
    <row r="42" spans="2:36">
      <c r="B42" s="256"/>
      <c r="C42" s="256"/>
      <c r="E42" s="256"/>
      <c r="F42" s="256"/>
      <c r="G42" s="493"/>
      <c r="H42" s="256"/>
      <c r="I42" s="281"/>
      <c r="J42" s="281"/>
    </row>
  </sheetData>
  <mergeCells count="6">
    <mergeCell ref="K9:M9"/>
    <mergeCell ref="B1:N1"/>
    <mergeCell ref="B2:N2"/>
    <mergeCell ref="C5:G5"/>
    <mergeCell ref="H5:J5"/>
    <mergeCell ref="K8:M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86"/>
  <sheetViews>
    <sheetView showGridLines="0" workbookViewId="0">
      <selection activeCell="A19" sqref="A19"/>
    </sheetView>
  </sheetViews>
  <sheetFormatPr defaultColWidth="9" defaultRowHeight="12.75"/>
  <cols>
    <col min="1" max="1" width="33.42578125" style="131" customWidth="1"/>
    <col min="2" max="2" width="10" style="132" bestFit="1" customWidth="1"/>
    <col min="3" max="3" width="12.42578125" style="132" bestFit="1" customWidth="1"/>
    <col min="4" max="4" width="11.5703125" style="128" customWidth="1"/>
    <col min="5" max="5" width="9.28515625" style="128" bestFit="1" customWidth="1"/>
    <col min="6" max="6" width="10.140625" style="129" bestFit="1" customWidth="1"/>
    <col min="7" max="7" width="9.28515625" style="130" bestFit="1" customWidth="1"/>
    <col min="8" max="8" width="10.140625" style="129" bestFit="1" customWidth="1"/>
    <col min="9" max="9" width="9.28515625" style="129" bestFit="1" customWidth="1"/>
    <col min="10" max="10" width="2.7109375" style="162" customWidth="1"/>
    <col min="11" max="16384" width="9" style="162"/>
  </cols>
  <sheetData>
    <row r="1" spans="1:9" s="126" customFormat="1" ht="15.75">
      <c r="A1" s="999" t="s">
        <v>67</v>
      </c>
      <c r="B1" s="999"/>
      <c r="C1" s="999"/>
      <c r="D1" s="999"/>
      <c r="E1" s="999"/>
      <c r="F1" s="999"/>
      <c r="G1" s="999"/>
      <c r="H1" s="999"/>
      <c r="I1" s="999"/>
    </row>
    <row r="2" spans="1:9" s="126" customFormat="1" ht="15.75">
      <c r="A2" s="999" t="s">
        <v>68</v>
      </c>
      <c r="B2" s="999"/>
      <c r="C2" s="999"/>
      <c r="D2" s="999"/>
      <c r="E2" s="999"/>
      <c r="F2" s="999"/>
      <c r="G2" s="999"/>
      <c r="H2" s="999"/>
      <c r="I2" s="999"/>
    </row>
    <row r="3" spans="1:9" s="126" customFormat="1" ht="15.75">
      <c r="A3" s="999" t="s">
        <v>69</v>
      </c>
      <c r="B3" s="999"/>
      <c r="C3" s="999"/>
      <c r="D3" s="999"/>
      <c r="E3" s="999"/>
      <c r="F3" s="999"/>
      <c r="G3" s="999"/>
      <c r="H3" s="999"/>
      <c r="I3" s="999"/>
    </row>
    <row r="4" spans="1:9" s="126" customFormat="1" ht="15">
      <c r="A4" s="133"/>
      <c r="B4" s="134"/>
      <c r="C4" s="134"/>
      <c r="D4" s="134"/>
      <c r="E4" s="134"/>
      <c r="F4" s="134"/>
      <c r="G4" s="134"/>
      <c r="H4" s="134"/>
      <c r="I4" s="134"/>
    </row>
    <row r="5" spans="1:9" s="126" customFormat="1" ht="14.25" customHeight="1">
      <c r="A5" s="1000" t="s">
        <v>119</v>
      </c>
      <c r="B5" s="1000"/>
      <c r="C5" s="1000"/>
      <c r="D5" s="1000"/>
      <c r="E5" s="1000"/>
      <c r="F5" s="1000"/>
      <c r="G5" s="1000"/>
      <c r="H5" s="1000"/>
      <c r="I5" s="1000"/>
    </row>
    <row r="6" spans="1:9" s="126" customFormat="1" ht="6.95" customHeight="1">
      <c r="A6" s="72"/>
      <c r="B6" s="72"/>
      <c r="C6" s="72"/>
      <c r="D6" s="73"/>
      <c r="E6" s="73"/>
      <c r="F6" s="73"/>
      <c r="G6" s="73"/>
      <c r="H6" s="73"/>
      <c r="I6" s="73"/>
    </row>
    <row r="7" spans="1:9" s="126" customFormat="1" ht="15">
      <c r="A7" s="74"/>
      <c r="B7" s="75"/>
      <c r="C7" s="76" t="s">
        <v>70</v>
      </c>
      <c r="D7" s="77" t="s">
        <v>40</v>
      </c>
      <c r="E7" s="78"/>
      <c r="F7" s="1001" t="s">
        <v>71</v>
      </c>
      <c r="G7" s="1002"/>
      <c r="H7" s="1002"/>
      <c r="I7" s="1003"/>
    </row>
    <row r="8" spans="1:9" s="126" customFormat="1" ht="15">
      <c r="A8" s="79" t="s">
        <v>72</v>
      </c>
      <c r="B8" s="80" t="s">
        <v>73</v>
      </c>
      <c r="C8" s="81" t="s">
        <v>74</v>
      </c>
      <c r="D8" s="82"/>
      <c r="E8" s="83" t="s">
        <v>75</v>
      </c>
      <c r="F8" s="84" t="s">
        <v>76</v>
      </c>
      <c r="G8" s="85"/>
      <c r="H8" s="997" t="s">
        <v>77</v>
      </c>
      <c r="I8" s="998"/>
    </row>
    <row r="9" spans="1:9" s="126" customFormat="1" ht="15" customHeight="1">
      <c r="A9" s="86"/>
      <c r="B9" s="87"/>
      <c r="C9" s="88" t="s">
        <v>78</v>
      </c>
      <c r="D9" s="89" t="s">
        <v>79</v>
      </c>
      <c r="E9" s="90" t="s">
        <v>80</v>
      </c>
      <c r="F9" s="91" t="s">
        <v>79</v>
      </c>
      <c r="G9" s="92" t="s">
        <v>80</v>
      </c>
      <c r="H9" s="91" t="s">
        <v>79</v>
      </c>
      <c r="I9" s="92" t="s">
        <v>80</v>
      </c>
    </row>
    <row r="10" spans="1:9" s="136" customFormat="1" ht="15">
      <c r="A10" s="135" t="s">
        <v>120</v>
      </c>
      <c r="B10" s="94">
        <v>145238</v>
      </c>
      <c r="C10" s="95"/>
      <c r="D10" s="96">
        <v>420552214558</v>
      </c>
      <c r="E10" s="97">
        <v>1</v>
      </c>
      <c r="F10" s="96">
        <v>155541844127</v>
      </c>
      <c r="G10" s="97">
        <v>0.99999999999999989</v>
      </c>
      <c r="H10" s="96">
        <v>136617980057</v>
      </c>
      <c r="I10" s="97">
        <v>1</v>
      </c>
    </row>
    <row r="11" spans="1:9" s="136" customFormat="1" ht="15">
      <c r="A11" s="137"/>
      <c r="B11" s="99"/>
      <c r="C11" s="138"/>
      <c r="D11" s="101"/>
      <c r="E11" s="102"/>
      <c r="F11" s="101"/>
      <c r="G11" s="102"/>
      <c r="H11" s="101"/>
      <c r="I11" s="102"/>
    </row>
    <row r="12" spans="1:9" s="136" customFormat="1" ht="15">
      <c r="A12" s="86" t="s">
        <v>59</v>
      </c>
      <c r="B12" s="139">
        <v>6276</v>
      </c>
      <c r="C12" s="139">
        <v>11429</v>
      </c>
      <c r="D12" s="101">
        <v>37877417522</v>
      </c>
      <c r="E12" s="103">
        <v>9.0065909085294271E-2</v>
      </c>
      <c r="F12" s="101">
        <v>954368784</v>
      </c>
      <c r="G12" s="103">
        <v>6.1357687338511775E-3</v>
      </c>
      <c r="H12" s="101">
        <v>954368784</v>
      </c>
      <c r="I12" s="103">
        <v>6.9856748255377266E-3</v>
      </c>
    </row>
    <row r="13" spans="1:9" s="141" customFormat="1" ht="14.25">
      <c r="A13" s="104" t="s">
        <v>82</v>
      </c>
      <c r="B13" s="140">
        <v>2056</v>
      </c>
      <c r="C13" s="140">
        <v>2056</v>
      </c>
      <c r="D13" s="106">
        <v>18710943099</v>
      </c>
      <c r="E13" s="107">
        <v>4.4491367424292806E-2</v>
      </c>
      <c r="F13" s="106">
        <v>497690367</v>
      </c>
      <c r="G13" s="107">
        <v>3.1997201125739229E-3</v>
      </c>
      <c r="H13" s="106">
        <v>497690367</v>
      </c>
      <c r="I13" s="107">
        <v>3.6429346034274018E-3</v>
      </c>
    </row>
    <row r="14" spans="1:9" s="141" customFormat="1" ht="14.25">
      <c r="A14" s="104" t="s">
        <v>83</v>
      </c>
      <c r="B14" s="140">
        <v>1823</v>
      </c>
      <c r="C14" s="140">
        <v>3646</v>
      </c>
      <c r="D14" s="106">
        <v>8978165581</v>
      </c>
      <c r="E14" s="107">
        <v>2.1348515761440097E-2</v>
      </c>
      <c r="F14" s="106">
        <v>209000145</v>
      </c>
      <c r="G14" s="107">
        <v>1.3436908002026212E-3</v>
      </c>
      <c r="H14" s="106">
        <v>209000145</v>
      </c>
      <c r="I14" s="107">
        <v>1.5298143400509991E-3</v>
      </c>
    </row>
    <row r="15" spans="1:9" s="141" customFormat="1" ht="14.25">
      <c r="A15" s="104" t="s">
        <v>84</v>
      </c>
      <c r="B15" s="140">
        <v>1478</v>
      </c>
      <c r="C15" s="140">
        <v>4434</v>
      </c>
      <c r="D15" s="106">
        <v>5912843267</v>
      </c>
      <c r="E15" s="107">
        <v>1.4059712592916418E-2</v>
      </c>
      <c r="F15" s="106">
        <v>125396196</v>
      </c>
      <c r="G15" s="107">
        <v>8.0618946434513105E-4</v>
      </c>
      <c r="H15" s="106">
        <v>125396196</v>
      </c>
      <c r="I15" s="107">
        <v>9.1786012315276495E-4</v>
      </c>
    </row>
    <row r="16" spans="1:9" s="141" customFormat="1" ht="14.25">
      <c r="A16" s="104" t="s">
        <v>85</v>
      </c>
      <c r="B16" s="140">
        <v>275</v>
      </c>
      <c r="C16" s="140">
        <v>275</v>
      </c>
      <c r="D16" s="106">
        <v>441787225</v>
      </c>
      <c r="E16" s="107">
        <v>1.0504931604374452E-3</v>
      </c>
      <c r="F16" s="106">
        <v>12799444</v>
      </c>
      <c r="G16" s="107">
        <v>8.2289393390175101E-5</v>
      </c>
      <c r="H16" s="106">
        <v>12799444</v>
      </c>
      <c r="I16" s="107">
        <v>9.3687843976757621E-5</v>
      </c>
    </row>
    <row r="17" spans="1:9" s="141" customFormat="1" ht="14.25">
      <c r="A17" s="104" t="s">
        <v>86</v>
      </c>
      <c r="B17" s="108">
        <v>0</v>
      </c>
      <c r="C17" s="108">
        <v>0</v>
      </c>
      <c r="D17" s="108">
        <v>0</v>
      </c>
      <c r="E17" s="142">
        <v>0</v>
      </c>
      <c r="F17" s="108">
        <v>0</v>
      </c>
      <c r="G17" s="142">
        <v>0</v>
      </c>
      <c r="H17" s="108">
        <v>0</v>
      </c>
      <c r="I17" s="142">
        <v>0</v>
      </c>
    </row>
    <row r="18" spans="1:9" s="141" customFormat="1" ht="14.25">
      <c r="A18" s="104" t="s">
        <v>87</v>
      </c>
      <c r="B18" s="140">
        <v>644</v>
      </c>
      <c r="C18" s="140">
        <v>1018</v>
      </c>
      <c r="D18" s="106">
        <v>3833678350</v>
      </c>
      <c r="E18" s="107">
        <v>9.1158201462075115E-3</v>
      </c>
      <c r="F18" s="106">
        <v>109482632</v>
      </c>
      <c r="G18" s="107">
        <v>7.0387896333932738E-4</v>
      </c>
      <c r="H18" s="106">
        <v>109482632</v>
      </c>
      <c r="I18" s="107">
        <v>8.0137791492980253E-4</v>
      </c>
    </row>
    <row r="19" spans="1:9" s="141" customFormat="1" ht="15" customHeight="1">
      <c r="A19" s="109"/>
      <c r="B19" s="110"/>
      <c r="C19" s="140"/>
      <c r="D19" s="106"/>
      <c r="E19" s="111"/>
      <c r="F19" s="106"/>
      <c r="G19" s="111"/>
      <c r="H19" s="106"/>
      <c r="I19" s="111"/>
    </row>
    <row r="20" spans="1:9" s="136" customFormat="1" ht="15">
      <c r="A20" s="86" t="s">
        <v>60</v>
      </c>
      <c r="B20" s="139">
        <v>117664</v>
      </c>
      <c r="C20" s="139">
        <v>752560</v>
      </c>
      <c r="D20" s="101">
        <v>167167168529</v>
      </c>
      <c r="E20" s="103">
        <v>0.39749444359648078</v>
      </c>
      <c r="F20" s="101">
        <v>61000337247</v>
      </c>
      <c r="G20" s="103">
        <v>0.392179593789522</v>
      </c>
      <c r="H20" s="101">
        <v>53028456007</v>
      </c>
      <c r="I20" s="103">
        <v>0.388151369130735</v>
      </c>
    </row>
    <row r="21" spans="1:9" s="141" customFormat="1" ht="14.25">
      <c r="A21" s="104" t="s">
        <v>88</v>
      </c>
      <c r="B21" s="140">
        <v>9922</v>
      </c>
      <c r="C21" s="140">
        <v>396477</v>
      </c>
      <c r="D21" s="106">
        <v>62337483206</v>
      </c>
      <c r="E21" s="107">
        <v>0.14822768980426518</v>
      </c>
      <c r="F21" s="106">
        <v>24600599258</v>
      </c>
      <c r="G21" s="107">
        <v>0.15816065057010381</v>
      </c>
      <c r="H21" s="106">
        <v>21047066589</v>
      </c>
      <c r="I21" s="107">
        <v>0.1540578083515706</v>
      </c>
    </row>
    <row r="22" spans="1:9" s="141" customFormat="1" ht="14.25">
      <c r="A22" s="104" t="s">
        <v>89</v>
      </c>
      <c r="B22" s="140">
        <v>2566</v>
      </c>
      <c r="C22" s="140">
        <v>158841</v>
      </c>
      <c r="D22" s="106">
        <v>38968137175</v>
      </c>
      <c r="E22" s="107">
        <v>9.2659450660497591E-2</v>
      </c>
      <c r="F22" s="106">
        <v>17014796415</v>
      </c>
      <c r="G22" s="107">
        <v>0.10939047630878936</v>
      </c>
      <c r="H22" s="106">
        <v>14638652981</v>
      </c>
      <c r="I22" s="107">
        <v>0.10715026656734666</v>
      </c>
    </row>
    <row r="23" spans="1:9" s="141" customFormat="1" ht="14.25">
      <c r="A23" s="104" t="s">
        <v>85</v>
      </c>
      <c r="B23" s="140">
        <v>92254</v>
      </c>
      <c r="C23" s="140">
        <v>92254</v>
      </c>
      <c r="D23" s="106">
        <v>31222723937</v>
      </c>
      <c r="E23" s="107">
        <v>7.4242205500724939E-2</v>
      </c>
      <c r="F23" s="106">
        <v>12382540127</v>
      </c>
      <c r="G23" s="107">
        <v>7.9609060806104692E-2</v>
      </c>
      <c r="H23" s="106">
        <v>10760228877</v>
      </c>
      <c r="I23" s="107">
        <v>7.8761440276825925E-2</v>
      </c>
    </row>
    <row r="24" spans="1:9" s="141" customFormat="1" ht="14.25">
      <c r="A24" s="104" t="s">
        <v>90</v>
      </c>
      <c r="B24" s="140">
        <v>157</v>
      </c>
      <c r="C24" s="140">
        <v>21688</v>
      </c>
      <c r="D24" s="106">
        <v>5430205681</v>
      </c>
      <c r="E24" s="107">
        <v>1.2912084381025413E-2</v>
      </c>
      <c r="F24" s="106">
        <v>1144832050</v>
      </c>
      <c r="G24" s="107">
        <v>7.360283378569461E-3</v>
      </c>
      <c r="H24" s="106">
        <v>1000399354</v>
      </c>
      <c r="I24" s="107">
        <v>7.3226039031071286E-3</v>
      </c>
    </row>
    <row r="25" spans="1:9" s="141" customFormat="1" ht="14.25">
      <c r="A25" s="112" t="s">
        <v>91</v>
      </c>
      <c r="B25" s="140">
        <v>191</v>
      </c>
      <c r="C25" s="140">
        <v>22249</v>
      </c>
      <c r="D25" s="106">
        <v>4796666206</v>
      </c>
      <c r="E25" s="107">
        <v>1.1405637730480844E-2</v>
      </c>
      <c r="F25" s="106">
        <v>1971721301</v>
      </c>
      <c r="G25" s="107">
        <v>1.2676468586743053E-2</v>
      </c>
      <c r="H25" s="106">
        <v>1696260110</v>
      </c>
      <c r="I25" s="107">
        <v>1.2416082489964229E-2</v>
      </c>
    </row>
    <row r="26" spans="1:9" s="141" customFormat="1" ht="14.25">
      <c r="A26" s="104" t="s">
        <v>92</v>
      </c>
      <c r="B26" s="140">
        <v>7738</v>
      </c>
      <c r="C26" s="140">
        <v>50662</v>
      </c>
      <c r="D26" s="106">
        <v>17510219630</v>
      </c>
      <c r="E26" s="107">
        <v>4.1636255912724712E-2</v>
      </c>
      <c r="F26" s="106">
        <v>2761393516</v>
      </c>
      <c r="G26" s="107">
        <v>1.7753380329895797E-2</v>
      </c>
      <c r="H26" s="106">
        <v>2761393516</v>
      </c>
      <c r="I26" s="107">
        <v>2.0212518987968393E-2</v>
      </c>
    </row>
    <row r="27" spans="1:9" s="141" customFormat="1" ht="14.25">
      <c r="A27" s="104" t="s">
        <v>93</v>
      </c>
      <c r="B27" s="140">
        <v>974</v>
      </c>
      <c r="C27" s="140">
        <v>6833</v>
      </c>
      <c r="D27" s="106">
        <v>3826927760</v>
      </c>
      <c r="E27" s="107">
        <v>9.0997684176317983E-3</v>
      </c>
      <c r="F27" s="106">
        <v>524891255</v>
      </c>
      <c r="G27" s="107">
        <v>3.3745983786293934E-3</v>
      </c>
      <c r="H27" s="106">
        <v>524891255</v>
      </c>
      <c r="I27" s="107">
        <v>3.8420364199573433E-3</v>
      </c>
    </row>
    <row r="28" spans="1:9" s="141" customFormat="1" ht="14.25">
      <c r="A28" s="104" t="s">
        <v>94</v>
      </c>
      <c r="B28" s="140">
        <v>3828</v>
      </c>
      <c r="C28" s="140">
        <v>3344</v>
      </c>
      <c r="D28" s="106">
        <v>2921007979</v>
      </c>
      <c r="E28" s="107">
        <v>6.9456487872022665E-3</v>
      </c>
      <c r="F28" s="106">
        <v>572812607</v>
      </c>
      <c r="G28" s="107">
        <v>3.6826913697403396E-3</v>
      </c>
      <c r="H28" s="106">
        <v>572812607</v>
      </c>
      <c r="I28" s="107">
        <v>4.192805418152209E-3</v>
      </c>
    </row>
    <row r="29" spans="1:9" s="141" customFormat="1" ht="14.25">
      <c r="A29" s="104" t="s">
        <v>95</v>
      </c>
      <c r="B29" s="140">
        <v>34</v>
      </c>
      <c r="C29" s="140">
        <v>212</v>
      </c>
      <c r="D29" s="106">
        <v>153796955</v>
      </c>
      <c r="E29" s="107">
        <v>3.6570240192799948E-4</v>
      </c>
      <c r="F29" s="106">
        <v>26750718</v>
      </c>
      <c r="G29" s="107">
        <v>1.7198406094605658E-4</v>
      </c>
      <c r="H29" s="106">
        <v>26750718</v>
      </c>
      <c r="I29" s="107">
        <v>1.9580671584251954E-4</v>
      </c>
    </row>
    <row r="30" spans="1:9" s="141" customFormat="1" ht="15" customHeight="1">
      <c r="A30" s="104"/>
      <c r="B30" s="110"/>
      <c r="C30" s="143"/>
      <c r="D30" s="106"/>
      <c r="E30" s="107"/>
      <c r="F30" s="106"/>
      <c r="G30" s="107"/>
      <c r="H30" s="106"/>
      <c r="I30" s="107"/>
    </row>
    <row r="31" spans="1:9" s="136" customFormat="1" ht="15">
      <c r="A31" s="86" t="s">
        <v>61</v>
      </c>
      <c r="B31" s="139">
        <v>47</v>
      </c>
      <c r="C31" s="113">
        <v>0</v>
      </c>
      <c r="D31" s="101">
        <v>13092644798</v>
      </c>
      <c r="E31" s="103">
        <v>3.1132031516610509E-2</v>
      </c>
      <c r="F31" s="101">
        <v>5691003042</v>
      </c>
      <c r="G31" s="103">
        <v>3.6588244622799332E-2</v>
      </c>
      <c r="H31" s="101">
        <v>5691003042</v>
      </c>
      <c r="I31" s="103">
        <v>4.1656325467742894E-2</v>
      </c>
    </row>
    <row r="32" spans="1:9" s="141" customFormat="1" ht="14.25">
      <c r="A32" s="104" t="s">
        <v>96</v>
      </c>
      <c r="B32" s="140">
        <v>16</v>
      </c>
      <c r="C32" s="108">
        <v>0</v>
      </c>
      <c r="D32" s="106">
        <v>9529432517</v>
      </c>
      <c r="E32" s="107">
        <v>2.2659332627734289E-2</v>
      </c>
      <c r="F32" s="106">
        <v>4288244632</v>
      </c>
      <c r="G32" s="107">
        <v>2.7569717049893312E-2</v>
      </c>
      <c r="H32" s="106">
        <v>4288244632</v>
      </c>
      <c r="I32" s="107">
        <v>3.1388581724095546E-2</v>
      </c>
    </row>
    <row r="33" spans="1:9" s="141" customFormat="1" ht="14.25">
      <c r="A33" s="104" t="s">
        <v>97</v>
      </c>
      <c r="B33" s="140">
        <v>31</v>
      </c>
      <c r="C33" s="108">
        <v>0</v>
      </c>
      <c r="D33" s="106">
        <v>3563212281</v>
      </c>
      <c r="E33" s="107">
        <v>8.4726988888762199E-3</v>
      </c>
      <c r="F33" s="106">
        <v>1402758410</v>
      </c>
      <c r="G33" s="107">
        <v>9.0185275729060214E-3</v>
      </c>
      <c r="H33" s="106">
        <v>1402758410</v>
      </c>
      <c r="I33" s="107">
        <v>1.0267743743647348E-2</v>
      </c>
    </row>
    <row r="34" spans="1:9" s="141" customFormat="1" ht="14.25">
      <c r="A34" s="112" t="s">
        <v>87</v>
      </c>
      <c r="B34" s="108">
        <v>0</v>
      </c>
      <c r="C34" s="108">
        <v>0</v>
      </c>
      <c r="D34" s="108">
        <v>0</v>
      </c>
      <c r="E34" s="142">
        <v>0</v>
      </c>
      <c r="F34" s="108">
        <v>0</v>
      </c>
      <c r="G34" s="142">
        <v>0</v>
      </c>
      <c r="H34" s="108">
        <v>0</v>
      </c>
      <c r="I34" s="142">
        <v>0</v>
      </c>
    </row>
    <row r="35" spans="1:9" s="141" customFormat="1" ht="15" customHeight="1">
      <c r="A35" s="109"/>
      <c r="B35" s="110"/>
      <c r="C35" s="114"/>
      <c r="D35" s="106"/>
      <c r="E35" s="111"/>
      <c r="F35" s="106"/>
      <c r="G35" s="111"/>
      <c r="H35" s="106"/>
      <c r="I35" s="111"/>
    </row>
    <row r="36" spans="1:9" s="136" customFormat="1" ht="15">
      <c r="A36" s="86" t="s">
        <v>62</v>
      </c>
      <c r="B36" s="139">
        <v>21251</v>
      </c>
      <c r="C36" s="115">
        <v>587040598</v>
      </c>
      <c r="D36" s="116">
        <v>202414983709</v>
      </c>
      <c r="E36" s="103">
        <v>0.48130761580161446</v>
      </c>
      <c r="F36" s="116">
        <v>87896135054</v>
      </c>
      <c r="G36" s="103">
        <v>0.56509639285382751</v>
      </c>
      <c r="H36" s="116">
        <v>76944152224</v>
      </c>
      <c r="I36" s="103">
        <v>0.56320663057598441</v>
      </c>
    </row>
    <row r="37" spans="1:9" s="141" customFormat="1" ht="14.25">
      <c r="A37" s="117" t="s">
        <v>98</v>
      </c>
      <c r="B37" s="140">
        <v>2233</v>
      </c>
      <c r="C37" s="118">
        <v>348212307</v>
      </c>
      <c r="D37" s="106">
        <v>113960300158</v>
      </c>
      <c r="E37" s="107">
        <v>0.27097776735707402</v>
      </c>
      <c r="F37" s="106">
        <v>50479676491</v>
      </c>
      <c r="G37" s="107">
        <v>0.32454081263035123</v>
      </c>
      <c r="H37" s="106">
        <v>44869735116</v>
      </c>
      <c r="I37" s="107">
        <v>0.32843213680424327</v>
      </c>
    </row>
    <row r="38" spans="1:9" s="141" customFormat="1" ht="14.25">
      <c r="A38" s="109" t="s">
        <v>99</v>
      </c>
      <c r="B38" s="140">
        <v>3127</v>
      </c>
      <c r="C38" s="118">
        <v>53098015</v>
      </c>
      <c r="D38" s="106">
        <v>20593589424</v>
      </c>
      <c r="E38" s="107">
        <v>4.8967972848850273E-2</v>
      </c>
      <c r="F38" s="106">
        <v>9012608259</v>
      </c>
      <c r="G38" s="107">
        <v>5.7943303357270215E-2</v>
      </c>
      <c r="H38" s="106">
        <v>7947096593</v>
      </c>
      <c r="I38" s="107">
        <v>5.8170210024217149E-2</v>
      </c>
    </row>
    <row r="39" spans="1:9" s="141" customFormat="1" ht="14.25">
      <c r="A39" s="109" t="s">
        <v>100</v>
      </c>
      <c r="B39" s="140">
        <v>575</v>
      </c>
      <c r="C39" s="118">
        <v>18456882</v>
      </c>
      <c r="D39" s="106">
        <v>3540188875</v>
      </c>
      <c r="E39" s="107">
        <v>8.4179532349407202E-3</v>
      </c>
      <c r="F39" s="106">
        <v>1569328193</v>
      </c>
      <c r="G39" s="107">
        <v>1.0089427715146817E-2</v>
      </c>
      <c r="H39" s="106">
        <v>1303567428</v>
      </c>
      <c r="I39" s="107">
        <v>9.5416974212041723E-3</v>
      </c>
    </row>
    <row r="40" spans="1:9" s="141" customFormat="1" ht="14.25">
      <c r="A40" s="119" t="s">
        <v>101</v>
      </c>
      <c r="B40" s="140">
        <v>2428</v>
      </c>
      <c r="C40" s="118">
        <v>27809370</v>
      </c>
      <c r="D40" s="106">
        <v>12468691557</v>
      </c>
      <c r="E40" s="107">
        <v>2.9648379262738122E-2</v>
      </c>
      <c r="F40" s="106">
        <v>5450167844</v>
      </c>
      <c r="G40" s="107">
        <v>3.5039881869665473E-2</v>
      </c>
      <c r="H40" s="106">
        <v>4586681386</v>
      </c>
      <c r="I40" s="107">
        <v>3.3573043490222415E-2</v>
      </c>
    </row>
    <row r="41" spans="1:9" s="141" customFormat="1" ht="14.25">
      <c r="A41" s="109" t="s">
        <v>102</v>
      </c>
      <c r="B41" s="140">
        <v>2132</v>
      </c>
      <c r="C41" s="118">
        <v>19172840</v>
      </c>
      <c r="D41" s="106">
        <v>10986424592</v>
      </c>
      <c r="E41" s="107">
        <v>2.6123806299645152E-2</v>
      </c>
      <c r="F41" s="106">
        <v>4454312930</v>
      </c>
      <c r="G41" s="107">
        <v>2.8637393075801848E-2</v>
      </c>
      <c r="H41" s="106">
        <v>3552655101</v>
      </c>
      <c r="I41" s="107">
        <v>2.6004301187279703E-2</v>
      </c>
    </row>
    <row r="42" spans="1:9" s="141" customFormat="1" ht="14.25">
      <c r="A42" s="109" t="s">
        <v>103</v>
      </c>
      <c r="B42" s="140">
        <v>38</v>
      </c>
      <c r="C42" s="118">
        <v>840814</v>
      </c>
      <c r="D42" s="106">
        <v>84631000</v>
      </c>
      <c r="E42" s="107">
        <v>2.0123779419149441E-4</v>
      </c>
      <c r="F42" s="106">
        <v>37753857</v>
      </c>
      <c r="G42" s="107">
        <v>2.4272476137787049E-4</v>
      </c>
      <c r="H42" s="106">
        <v>30929391</v>
      </c>
      <c r="I42" s="107">
        <v>2.2639326820009771E-4</v>
      </c>
    </row>
    <row r="43" spans="1:9" s="141" customFormat="1" ht="14.25">
      <c r="A43" s="109" t="s">
        <v>104</v>
      </c>
      <c r="B43" s="140">
        <v>125</v>
      </c>
      <c r="C43" s="118">
        <v>3618475</v>
      </c>
      <c r="D43" s="106">
        <v>430624000</v>
      </c>
      <c r="E43" s="107">
        <v>1.0239489535266992E-3</v>
      </c>
      <c r="F43" s="106">
        <v>180014963</v>
      </c>
      <c r="G43" s="107">
        <v>1.1573410615668006E-3</v>
      </c>
      <c r="H43" s="106">
        <v>151461434</v>
      </c>
      <c r="I43" s="107">
        <v>1.1086493442283877E-3</v>
      </c>
    </row>
    <row r="44" spans="1:9" s="141" customFormat="1" ht="14.25">
      <c r="A44" s="109" t="s">
        <v>105</v>
      </c>
      <c r="B44" s="140">
        <v>108</v>
      </c>
      <c r="C44" s="118">
        <v>442046</v>
      </c>
      <c r="D44" s="106">
        <v>131718148</v>
      </c>
      <c r="E44" s="107">
        <v>3.1320284007643534E-4</v>
      </c>
      <c r="F44" s="106">
        <v>56780550</v>
      </c>
      <c r="G44" s="107">
        <v>3.6504999872342167E-4</v>
      </c>
      <c r="H44" s="106">
        <v>46173046</v>
      </c>
      <c r="I44" s="107">
        <v>3.3797195640526673E-4</v>
      </c>
    </row>
    <row r="45" spans="1:9" s="141" customFormat="1" ht="14.25">
      <c r="A45" s="109" t="s">
        <v>106</v>
      </c>
      <c r="B45" s="140">
        <v>44</v>
      </c>
      <c r="C45" s="118">
        <v>4239202</v>
      </c>
      <c r="D45" s="106">
        <v>421024000</v>
      </c>
      <c r="E45" s="107">
        <v>1.0011218237014775E-3</v>
      </c>
      <c r="F45" s="106">
        <v>183094650</v>
      </c>
      <c r="G45" s="107">
        <v>1.1771407946693953E-3</v>
      </c>
      <c r="H45" s="106">
        <v>160586026</v>
      </c>
      <c r="I45" s="107">
        <v>1.175438444727407E-3</v>
      </c>
    </row>
    <row r="46" spans="1:9" s="141" customFormat="1" ht="14.25">
      <c r="A46" s="109" t="s">
        <v>107</v>
      </c>
      <c r="B46" s="140">
        <v>3157</v>
      </c>
      <c r="C46" s="118">
        <v>422468</v>
      </c>
      <c r="D46" s="106">
        <v>79897731</v>
      </c>
      <c r="E46" s="107">
        <v>1.8998290398725506E-4</v>
      </c>
      <c r="F46" s="106">
        <v>34676800</v>
      </c>
      <c r="G46" s="107">
        <v>2.229419369085426E-4</v>
      </c>
      <c r="H46" s="106">
        <v>29670312</v>
      </c>
      <c r="I46" s="107">
        <v>2.1717721186933741E-4</v>
      </c>
    </row>
    <row r="47" spans="1:9" s="141" customFormat="1" ht="14.25">
      <c r="A47" s="109" t="s">
        <v>108</v>
      </c>
      <c r="B47" s="140">
        <v>672</v>
      </c>
      <c r="C47" s="118">
        <v>9176071</v>
      </c>
      <c r="D47" s="106">
        <v>2198723425</v>
      </c>
      <c r="E47" s="107">
        <v>5.2281817783574299E-3</v>
      </c>
      <c r="F47" s="106">
        <v>941541876</v>
      </c>
      <c r="G47" s="107">
        <v>6.0533027706115572E-3</v>
      </c>
      <c r="H47" s="106">
        <v>811559082</v>
      </c>
      <c r="I47" s="107">
        <v>5.9403533975645071E-3</v>
      </c>
    </row>
    <row r="48" spans="1:9" s="141" customFormat="1" ht="14.25">
      <c r="A48" s="109" t="s">
        <v>109</v>
      </c>
      <c r="B48" s="140">
        <v>773</v>
      </c>
      <c r="C48" s="118">
        <v>7198645</v>
      </c>
      <c r="D48" s="106">
        <v>1325282596</v>
      </c>
      <c r="E48" s="107">
        <v>3.1512914452082267E-3</v>
      </c>
      <c r="F48" s="106">
        <v>500163699</v>
      </c>
      <c r="G48" s="107">
        <v>3.215621505629161E-3</v>
      </c>
      <c r="H48" s="106">
        <v>441655080</v>
      </c>
      <c r="I48" s="107">
        <v>3.2327741913306864E-3</v>
      </c>
    </row>
    <row r="49" spans="1:9" s="141" customFormat="1" ht="14.25">
      <c r="A49" s="109" t="s">
        <v>110</v>
      </c>
      <c r="B49" s="140">
        <v>193</v>
      </c>
      <c r="C49" s="118">
        <v>10593189</v>
      </c>
      <c r="D49" s="106">
        <v>2369242430</v>
      </c>
      <c r="E49" s="107">
        <v>5.633646305941039E-3</v>
      </c>
      <c r="F49" s="106">
        <v>607261495</v>
      </c>
      <c r="G49" s="107">
        <v>3.9041680289206978E-3</v>
      </c>
      <c r="H49" s="106">
        <v>544069787</v>
      </c>
      <c r="I49" s="107">
        <v>3.9824171516296917E-3</v>
      </c>
    </row>
    <row r="50" spans="1:9" s="141" customFormat="1" ht="14.25">
      <c r="A50" s="109" t="s">
        <v>111</v>
      </c>
      <c r="B50" s="140">
        <v>85</v>
      </c>
      <c r="C50" s="118">
        <v>4159643</v>
      </c>
      <c r="D50" s="106">
        <v>719177740</v>
      </c>
      <c r="E50" s="107">
        <v>1.7100795456655843E-3</v>
      </c>
      <c r="F50" s="106">
        <v>318464095</v>
      </c>
      <c r="G50" s="107">
        <v>2.0474496543835103E-3</v>
      </c>
      <c r="H50" s="106">
        <v>278417326</v>
      </c>
      <c r="I50" s="107">
        <v>2.0379259441827367E-3</v>
      </c>
    </row>
    <row r="51" spans="1:9" s="141" customFormat="1" ht="14.25">
      <c r="A51" s="109" t="s">
        <v>112</v>
      </c>
      <c r="B51" s="140">
        <v>92</v>
      </c>
      <c r="C51" s="118">
        <v>2277982</v>
      </c>
      <c r="D51" s="106">
        <v>522219090</v>
      </c>
      <c r="E51" s="107">
        <v>1.2417461421499155E-3</v>
      </c>
      <c r="F51" s="106">
        <v>181226694</v>
      </c>
      <c r="G51" s="107">
        <v>1.1651314475352903E-3</v>
      </c>
      <c r="H51" s="106">
        <v>158793614</v>
      </c>
      <c r="I51" s="107">
        <v>1.1623185610982378E-3</v>
      </c>
    </row>
    <row r="52" spans="1:9" s="141" customFormat="1" ht="14.25">
      <c r="A52" s="109" t="s">
        <v>113</v>
      </c>
      <c r="B52" s="140">
        <v>84</v>
      </c>
      <c r="C52" s="118">
        <v>1299302</v>
      </c>
      <c r="D52" s="106">
        <v>336180023</v>
      </c>
      <c r="E52" s="107">
        <v>7.9937760725698448E-4</v>
      </c>
      <c r="F52" s="106">
        <v>107741628</v>
      </c>
      <c r="G52" s="107">
        <v>6.9268580814837771E-4</v>
      </c>
      <c r="H52" s="106">
        <v>92652516</v>
      </c>
      <c r="I52" s="107">
        <v>6.7818683866752638E-4</v>
      </c>
    </row>
    <row r="53" spans="1:9" s="141" customFormat="1" ht="14.25">
      <c r="A53" s="109" t="s">
        <v>114</v>
      </c>
      <c r="B53" s="140">
        <v>535</v>
      </c>
      <c r="C53" s="118">
        <v>55561304</v>
      </c>
      <c r="D53" s="106">
        <v>20059916343</v>
      </c>
      <c r="E53" s="107">
        <v>4.7698991108828075E-2</v>
      </c>
      <c r="F53" s="106">
        <v>8573109816</v>
      </c>
      <c r="G53" s="107">
        <v>5.5117707161810754E-2</v>
      </c>
      <c r="H53" s="106">
        <v>7394599197</v>
      </c>
      <c r="I53" s="107">
        <v>5.4126105465143112E-2</v>
      </c>
    </row>
    <row r="54" spans="1:9" s="141" customFormat="1" ht="14.25">
      <c r="A54" s="109" t="s">
        <v>115</v>
      </c>
      <c r="B54" s="140">
        <v>1594</v>
      </c>
      <c r="C54" s="118">
        <v>14778326</v>
      </c>
      <c r="D54" s="106">
        <v>6778478804</v>
      </c>
      <c r="E54" s="107">
        <v>1.6118043299627315E-2</v>
      </c>
      <c r="F54" s="106">
        <v>3000400337</v>
      </c>
      <c r="G54" s="107">
        <v>1.9289988194753378E-2</v>
      </c>
      <c r="H54" s="106">
        <v>2569664930</v>
      </c>
      <c r="I54" s="107">
        <v>1.8809126946013107E-2</v>
      </c>
    </row>
    <row r="55" spans="1:9" s="141" customFormat="1" ht="14.25">
      <c r="A55" s="109" t="s">
        <v>116</v>
      </c>
      <c r="B55" s="140">
        <v>44</v>
      </c>
      <c r="C55" s="118">
        <v>11369</v>
      </c>
      <c r="D55" s="106">
        <v>1299147</v>
      </c>
      <c r="E55" s="107">
        <v>3.0891455449007736E-6</v>
      </c>
      <c r="F55" s="106">
        <v>439821</v>
      </c>
      <c r="G55" s="107">
        <v>2.8276699589654212E-6</v>
      </c>
      <c r="H55" s="106">
        <v>358011</v>
      </c>
      <c r="I55" s="107">
        <v>2.6205262283238999E-6</v>
      </c>
    </row>
    <row r="56" spans="1:9" s="141" customFormat="1" ht="14.25">
      <c r="A56" s="109" t="s">
        <v>117</v>
      </c>
      <c r="B56" s="140">
        <v>52</v>
      </c>
      <c r="C56" s="118">
        <v>674269</v>
      </c>
      <c r="D56" s="106">
        <v>208050911</v>
      </c>
      <c r="E56" s="107">
        <v>4.9470887038048606E-4</v>
      </c>
      <c r="F56" s="106">
        <v>92606470</v>
      </c>
      <c r="G56" s="107">
        <v>5.9537978683335373E-4</v>
      </c>
      <c r="H56" s="106">
        <v>72464023</v>
      </c>
      <c r="I56" s="107">
        <v>5.3041351489581704E-4</v>
      </c>
    </row>
    <row r="57" spans="1:9" s="141" customFormat="1" ht="14.25">
      <c r="A57" s="109" t="s">
        <v>118</v>
      </c>
      <c r="B57" s="140">
        <v>2232</v>
      </c>
      <c r="C57" s="108">
        <v>0</v>
      </c>
      <c r="D57" s="106">
        <v>2894134986</v>
      </c>
      <c r="E57" s="107">
        <v>6.8817494851185915E-3</v>
      </c>
      <c r="F57" s="106">
        <v>1247724865</v>
      </c>
      <c r="G57" s="107">
        <v>8.0217954982019623E-3</v>
      </c>
      <c r="H57" s="106">
        <v>1207228124</v>
      </c>
      <c r="I57" s="107">
        <v>8.8365244713493642E-3</v>
      </c>
    </row>
    <row r="58" spans="1:9" s="141" customFormat="1" ht="14.25">
      <c r="A58" s="109" t="s">
        <v>86</v>
      </c>
      <c r="B58" s="140">
        <v>612</v>
      </c>
      <c r="C58" s="108">
        <v>0</v>
      </c>
      <c r="D58" s="106">
        <v>1328186051</v>
      </c>
      <c r="E58" s="107">
        <v>3.1581953560651734E-3</v>
      </c>
      <c r="F58" s="106">
        <v>595120102</v>
      </c>
      <c r="G58" s="107">
        <v>3.826109336302353E-3</v>
      </c>
      <c r="H58" s="106">
        <v>453639684</v>
      </c>
      <c r="I58" s="107">
        <v>3.320497666637522E-3</v>
      </c>
    </row>
    <row r="59" spans="1:9" s="141" customFormat="1" ht="14.25">
      <c r="A59" s="121" t="s">
        <v>87</v>
      </c>
      <c r="B59" s="144">
        <v>316</v>
      </c>
      <c r="C59" s="145">
        <v>4998079</v>
      </c>
      <c r="D59" s="124">
        <v>977002678</v>
      </c>
      <c r="E59" s="125">
        <v>2.3231423927391011E-3</v>
      </c>
      <c r="F59" s="124">
        <v>271919619</v>
      </c>
      <c r="G59" s="125">
        <v>1.7482087892565906E-3</v>
      </c>
      <c r="H59" s="124">
        <v>240495017</v>
      </c>
      <c r="I59" s="125">
        <v>1.7603467486465561E-3</v>
      </c>
    </row>
    <row r="60" spans="1:9" s="136" customFormat="1" ht="9.75" customHeight="1">
      <c r="A60" s="146"/>
      <c r="B60" s="147"/>
      <c r="C60" s="147"/>
      <c r="D60" s="148"/>
      <c r="E60" s="148"/>
      <c r="F60" s="149"/>
      <c r="G60" s="150"/>
      <c r="H60" s="149"/>
      <c r="I60" s="150"/>
    </row>
    <row r="61" spans="1:9" s="126" customFormat="1">
      <c r="A61" s="151"/>
      <c r="B61" s="147"/>
      <c r="C61" s="152"/>
      <c r="D61" s="153"/>
      <c r="E61" s="153"/>
      <c r="F61" s="154"/>
      <c r="G61" s="155"/>
      <c r="H61" s="154"/>
      <c r="I61" s="154"/>
    </row>
    <row r="62" spans="1:9" s="126" customFormat="1">
      <c r="A62" s="151"/>
      <c r="B62" s="156"/>
      <c r="C62" s="152"/>
      <c r="D62" s="153"/>
      <c r="E62" s="153"/>
      <c r="F62" s="154"/>
      <c r="G62" s="155"/>
      <c r="H62" s="154"/>
      <c r="I62" s="154"/>
    </row>
    <row r="63" spans="1:9" s="126" customFormat="1">
      <c r="A63" s="151"/>
      <c r="B63" s="152"/>
      <c r="C63" s="152"/>
      <c r="D63" s="153"/>
      <c r="E63" s="153"/>
      <c r="F63" s="154"/>
      <c r="G63" s="155"/>
      <c r="H63" s="154"/>
      <c r="I63" s="154"/>
    </row>
    <row r="64" spans="1:9" s="126" customFormat="1" ht="11.45" customHeight="1">
      <c r="A64" s="157"/>
      <c r="B64" s="152"/>
      <c r="C64" s="152"/>
      <c r="D64" s="153"/>
      <c r="E64" s="153"/>
      <c r="F64" s="154"/>
      <c r="G64" s="155"/>
      <c r="H64" s="154"/>
      <c r="I64" s="154"/>
    </row>
    <row r="65" spans="1:9" s="12" customFormat="1">
      <c r="A65" s="15"/>
      <c r="B65" s="158"/>
      <c r="C65" s="158"/>
      <c r="D65" s="159"/>
      <c r="E65" s="159"/>
      <c r="F65" s="160"/>
      <c r="G65" s="161"/>
      <c r="H65" s="160"/>
      <c r="I65" s="160"/>
    </row>
    <row r="66" spans="1:9" s="12" customFormat="1">
      <c r="A66" s="15"/>
      <c r="B66" s="158"/>
      <c r="C66" s="158"/>
      <c r="D66" s="159"/>
      <c r="E66" s="159"/>
      <c r="F66" s="160"/>
      <c r="G66" s="161"/>
      <c r="H66" s="160"/>
      <c r="I66" s="160"/>
    </row>
    <row r="67" spans="1:9" s="12" customFormat="1">
      <c r="A67" s="15"/>
      <c r="B67" s="158"/>
      <c r="C67" s="158"/>
      <c r="D67" s="159"/>
      <c r="E67" s="159"/>
      <c r="F67" s="160"/>
      <c r="G67" s="161"/>
      <c r="H67" s="160"/>
      <c r="I67" s="160"/>
    </row>
    <row r="68" spans="1:9" s="12" customFormat="1">
      <c r="A68" s="15"/>
      <c r="B68" s="158"/>
      <c r="C68" s="158"/>
      <c r="D68" s="159"/>
      <c r="E68" s="159"/>
      <c r="F68" s="160"/>
      <c r="G68" s="161"/>
      <c r="H68" s="160"/>
      <c r="I68" s="160"/>
    </row>
    <row r="69" spans="1:9" s="12" customFormat="1">
      <c r="A69" s="15"/>
      <c r="B69" s="158"/>
      <c r="C69" s="158"/>
      <c r="D69" s="159"/>
      <c r="E69" s="159"/>
      <c r="F69" s="160"/>
      <c r="G69" s="161"/>
      <c r="H69" s="160"/>
      <c r="I69" s="160"/>
    </row>
    <row r="70" spans="1:9" s="12" customFormat="1">
      <c r="A70" s="15"/>
      <c r="B70" s="158"/>
      <c r="C70" s="158"/>
      <c r="D70" s="159"/>
      <c r="E70" s="159"/>
      <c r="F70" s="160"/>
      <c r="G70" s="161"/>
      <c r="H70" s="160"/>
      <c r="I70" s="160"/>
    </row>
    <row r="71" spans="1:9" s="12" customFormat="1">
      <c r="A71" s="15"/>
      <c r="B71" s="158"/>
      <c r="C71" s="158"/>
      <c r="D71" s="159"/>
      <c r="E71" s="159"/>
      <c r="F71" s="160"/>
      <c r="G71" s="161"/>
      <c r="H71" s="160"/>
      <c r="I71" s="160"/>
    </row>
    <row r="72" spans="1:9" s="12" customFormat="1">
      <c r="A72" s="15"/>
      <c r="B72" s="158"/>
      <c r="C72" s="158"/>
      <c r="D72" s="159"/>
      <c r="E72" s="159"/>
      <c r="F72" s="160"/>
      <c r="G72" s="161"/>
      <c r="H72" s="160"/>
      <c r="I72" s="160"/>
    </row>
    <row r="73" spans="1:9" s="12" customFormat="1">
      <c r="A73" s="15"/>
      <c r="B73" s="158"/>
      <c r="C73" s="158"/>
      <c r="D73" s="159"/>
      <c r="E73" s="159"/>
      <c r="F73" s="160"/>
      <c r="G73" s="161"/>
      <c r="H73" s="160"/>
      <c r="I73" s="160"/>
    </row>
    <row r="74" spans="1:9" s="12" customFormat="1">
      <c r="A74" s="15"/>
      <c r="B74" s="158"/>
      <c r="C74" s="158"/>
      <c r="D74" s="159"/>
      <c r="E74" s="159"/>
      <c r="F74" s="160"/>
      <c r="G74" s="161"/>
      <c r="H74" s="160"/>
      <c r="I74" s="160"/>
    </row>
    <row r="75" spans="1:9" s="12" customFormat="1">
      <c r="A75" s="15"/>
      <c r="B75" s="158"/>
      <c r="C75" s="158"/>
      <c r="D75" s="159"/>
      <c r="E75" s="159"/>
      <c r="F75" s="160"/>
      <c r="G75" s="161"/>
      <c r="H75" s="160"/>
      <c r="I75" s="160"/>
    </row>
    <row r="76" spans="1:9" s="12" customFormat="1">
      <c r="A76" s="15"/>
      <c r="B76" s="158"/>
      <c r="C76" s="158"/>
      <c r="D76" s="159"/>
      <c r="E76" s="159"/>
      <c r="F76" s="160"/>
      <c r="G76" s="161"/>
      <c r="H76" s="160"/>
      <c r="I76" s="160"/>
    </row>
    <row r="77" spans="1:9" s="12" customFormat="1">
      <c r="A77" s="15"/>
      <c r="B77" s="158"/>
      <c r="C77" s="158"/>
      <c r="D77" s="159"/>
      <c r="E77" s="159"/>
      <c r="F77" s="160"/>
      <c r="G77" s="161"/>
      <c r="H77" s="160"/>
      <c r="I77" s="160"/>
    </row>
    <row r="78" spans="1:9" s="12" customFormat="1">
      <c r="A78" s="15"/>
      <c r="B78" s="158"/>
      <c r="C78" s="158"/>
      <c r="D78" s="159"/>
      <c r="E78" s="159"/>
      <c r="F78" s="160"/>
      <c r="G78" s="161"/>
      <c r="H78" s="160"/>
      <c r="I78" s="160"/>
    </row>
    <row r="79" spans="1:9" s="12" customFormat="1">
      <c r="A79" s="15"/>
      <c r="B79" s="158"/>
      <c r="C79" s="158"/>
      <c r="D79" s="159"/>
      <c r="E79" s="159"/>
      <c r="F79" s="160"/>
      <c r="G79" s="161"/>
      <c r="H79" s="160"/>
      <c r="I79" s="160"/>
    </row>
    <row r="80" spans="1:9" s="12" customFormat="1">
      <c r="A80" s="15"/>
      <c r="B80" s="158"/>
      <c r="C80" s="158"/>
      <c r="D80" s="159"/>
      <c r="E80" s="159"/>
      <c r="F80" s="160"/>
      <c r="G80" s="161"/>
      <c r="H80" s="160"/>
      <c r="I80" s="160"/>
    </row>
    <row r="81" spans="1:9" s="12" customFormat="1">
      <c r="A81" s="15"/>
      <c r="B81" s="158"/>
      <c r="C81" s="158"/>
      <c r="D81" s="159"/>
      <c r="E81" s="159"/>
      <c r="F81" s="160"/>
      <c r="G81" s="161"/>
      <c r="H81" s="160"/>
      <c r="I81" s="160"/>
    </row>
    <row r="82" spans="1:9" s="12" customFormat="1">
      <c r="A82" s="15"/>
      <c r="B82" s="158"/>
      <c r="C82" s="158"/>
      <c r="D82" s="159"/>
      <c r="E82" s="159"/>
      <c r="F82" s="160"/>
      <c r="G82" s="161"/>
      <c r="H82" s="160"/>
      <c r="I82" s="160"/>
    </row>
    <row r="83" spans="1:9" s="12" customFormat="1">
      <c r="A83" s="15"/>
      <c r="B83" s="158"/>
      <c r="C83" s="158"/>
      <c r="D83" s="159"/>
      <c r="E83" s="159"/>
      <c r="F83" s="160"/>
      <c r="G83" s="161"/>
      <c r="H83" s="160"/>
      <c r="I83" s="160"/>
    </row>
    <row r="84" spans="1:9" s="12" customFormat="1">
      <c r="A84" s="15"/>
      <c r="B84" s="158"/>
      <c r="C84" s="158"/>
      <c r="D84" s="159"/>
      <c r="E84" s="159"/>
      <c r="F84" s="160"/>
      <c r="G84" s="161"/>
      <c r="H84" s="160"/>
      <c r="I84" s="160"/>
    </row>
    <row r="85" spans="1:9" s="12" customFormat="1">
      <c r="A85" s="15"/>
      <c r="B85" s="158"/>
      <c r="C85" s="158"/>
      <c r="D85" s="159"/>
      <c r="E85" s="159"/>
      <c r="F85" s="160"/>
      <c r="G85" s="161"/>
      <c r="H85" s="160"/>
      <c r="I85" s="160"/>
    </row>
    <row r="86" spans="1:9" s="12" customFormat="1">
      <c r="A86" s="15"/>
      <c r="B86" s="158"/>
      <c r="C86" s="158"/>
      <c r="D86" s="159"/>
      <c r="E86" s="159"/>
      <c r="F86" s="160"/>
      <c r="G86" s="161"/>
      <c r="H86" s="160"/>
      <c r="I86" s="160"/>
    </row>
  </sheetData>
  <mergeCells count="6">
    <mergeCell ref="H8:I8"/>
    <mergeCell ref="A1:I1"/>
    <mergeCell ref="A2:I2"/>
    <mergeCell ref="A3:I3"/>
    <mergeCell ref="A5:I5"/>
    <mergeCell ref="F7:I7"/>
  </mergeCells>
  <pageMargins left="0.7" right="0.7" top="0.75" bottom="0.75" header="0.3" footer="0.3"/>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D38"/>
  <sheetViews>
    <sheetView showGridLines="0" workbookViewId="0">
      <selection activeCell="D27" sqref="D27"/>
    </sheetView>
  </sheetViews>
  <sheetFormatPr defaultRowHeight="15"/>
  <cols>
    <col min="1" max="1" width="20.7109375" style="70" customWidth="1"/>
    <col min="2" max="2" width="12.7109375" style="978" customWidth="1"/>
    <col min="3" max="3" width="9.85546875" style="70" customWidth="1"/>
    <col min="4" max="4" width="20.7109375" style="70" customWidth="1"/>
  </cols>
  <sheetData>
    <row r="1" spans="1:4">
      <c r="A1" s="1097" t="s">
        <v>505</v>
      </c>
      <c r="B1" s="1034"/>
      <c r="C1" s="1034"/>
      <c r="D1" s="1034"/>
    </row>
    <row r="2" spans="1:4">
      <c r="A2" s="1097" t="s">
        <v>506</v>
      </c>
      <c r="B2" s="1034"/>
      <c r="C2" s="1034"/>
      <c r="D2" s="1034"/>
    </row>
    <row r="3" spans="1:4">
      <c r="A3" s="1097" t="s">
        <v>507</v>
      </c>
      <c r="B3" s="1097"/>
      <c r="C3" s="1097"/>
      <c r="D3" s="1097"/>
    </row>
    <row r="4" spans="1:4">
      <c r="B4" s="965"/>
      <c r="C4" s="965"/>
      <c r="D4" s="964"/>
    </row>
    <row r="5" spans="1:4">
      <c r="B5" s="966" t="s">
        <v>385</v>
      </c>
      <c r="C5" s="967" t="s">
        <v>508</v>
      </c>
      <c r="D5" s="964"/>
    </row>
    <row r="6" spans="1:4">
      <c r="B6" s="968">
        <v>1993</v>
      </c>
      <c r="C6" s="969">
        <f>[7]current!L187-1</f>
        <v>2.0000000000000018E-2</v>
      </c>
      <c r="D6" s="964"/>
    </row>
    <row r="7" spans="1:4">
      <c r="B7" s="968">
        <v>1994</v>
      </c>
      <c r="C7" s="969">
        <f>[7]current!L179-1</f>
        <v>5.0000000000000044E-2</v>
      </c>
      <c r="D7" s="964"/>
    </row>
    <row r="8" spans="1:4">
      <c r="B8" s="970">
        <v>1995</v>
      </c>
      <c r="C8" s="969">
        <f>[7]current!L171-1</f>
        <v>2.750000000000008E-2</v>
      </c>
      <c r="D8" s="971"/>
    </row>
    <row r="9" spans="1:4">
      <c r="B9" s="970">
        <f t="shared" ref="B9:B23" si="0">B8+1</f>
        <v>1996</v>
      </c>
      <c r="C9" s="969">
        <f>[7]current!L163-1</f>
        <v>2.750000000000008E-2</v>
      </c>
      <c r="D9" s="971"/>
    </row>
    <row r="10" spans="1:4">
      <c r="B10" s="970">
        <f t="shared" si="0"/>
        <v>1997</v>
      </c>
      <c r="C10" s="969">
        <f>[7]current!L155-1</f>
        <v>2.4999999999999911E-2</v>
      </c>
      <c r="D10" s="971"/>
    </row>
    <row r="11" spans="1:4">
      <c r="B11" s="970">
        <f t="shared" si="0"/>
        <v>1998</v>
      </c>
      <c r="C11" s="969">
        <f>[7]current!L147-1</f>
        <v>2.4999999999999911E-2</v>
      </c>
      <c r="D11" s="971"/>
    </row>
    <row r="12" spans="1:4">
      <c r="B12" s="970">
        <f t="shared" si="0"/>
        <v>1999</v>
      </c>
      <c r="C12" s="969">
        <f>[7]current!L139-1</f>
        <v>2.4999999999999911E-2</v>
      </c>
      <c r="D12" s="971"/>
    </row>
    <row r="13" spans="1:4">
      <c r="B13" s="970">
        <f t="shared" si="0"/>
        <v>2000</v>
      </c>
      <c r="C13" s="969">
        <f>[7]current!L131-1</f>
        <v>2.4999999999999911E-2</v>
      </c>
      <c r="D13" s="971"/>
    </row>
    <row r="14" spans="1:4">
      <c r="B14" s="970">
        <f t="shared" si="0"/>
        <v>2001</v>
      </c>
      <c r="C14" s="969">
        <f>[7]current!L123-1</f>
        <v>2.0000000000000018E-2</v>
      </c>
      <c r="D14" s="971"/>
    </row>
    <row r="15" spans="1:4">
      <c r="B15" s="970">
        <f t="shared" si="0"/>
        <v>2002</v>
      </c>
      <c r="C15" s="969">
        <f>[7]current!L115-1</f>
        <v>2.0000000000000018E-2</v>
      </c>
      <c r="D15" s="971"/>
    </row>
    <row r="16" spans="1:4">
      <c r="B16" s="970">
        <f t="shared" si="0"/>
        <v>2003</v>
      </c>
      <c r="C16" s="969">
        <f>[7]current!L107-1</f>
        <v>2.0000000000000018E-2</v>
      </c>
      <c r="D16" s="971"/>
    </row>
    <row r="17" spans="1:4">
      <c r="B17" s="970">
        <f t="shared" si="0"/>
        <v>2004</v>
      </c>
      <c r="C17" s="969">
        <f>[7]current!L99-1</f>
        <v>2.0000000000000018E-2</v>
      </c>
      <c r="D17" s="971"/>
    </row>
    <row r="18" spans="1:4">
      <c r="B18" s="970">
        <f t="shared" si="0"/>
        <v>2005</v>
      </c>
      <c r="C18" s="969">
        <f>[7]current!L91-1</f>
        <v>2.0000000000000018E-2</v>
      </c>
      <c r="D18" s="971"/>
    </row>
    <row r="19" spans="1:4">
      <c r="B19" s="970">
        <f t="shared" si="0"/>
        <v>2006</v>
      </c>
      <c r="C19" s="969">
        <f>[7]current!L83-1</f>
        <v>2.0000000000000018E-2</v>
      </c>
      <c r="D19" s="971"/>
    </row>
    <row r="20" spans="1:4">
      <c r="B20" s="970">
        <f t="shared" si="0"/>
        <v>2007</v>
      </c>
      <c r="C20" s="969">
        <f>[7]current!L75-1</f>
        <v>2.0000000000000018E-2</v>
      </c>
      <c r="D20" s="971"/>
    </row>
    <row r="21" spans="1:4">
      <c r="B21" s="970">
        <f t="shared" si="0"/>
        <v>2008</v>
      </c>
      <c r="C21" s="969">
        <f>[7]current!L67-1</f>
        <v>0</v>
      </c>
      <c r="D21" s="971"/>
    </row>
    <row r="22" spans="1:4">
      <c r="B22" s="970">
        <f t="shared" si="0"/>
        <v>2009</v>
      </c>
      <c r="C22" s="969">
        <f>[7]current!L59-1</f>
        <v>0</v>
      </c>
      <c r="D22" s="971"/>
    </row>
    <row r="23" spans="1:4">
      <c r="B23" s="970">
        <f t="shared" si="0"/>
        <v>2010</v>
      </c>
      <c r="C23" s="969">
        <f>[7]current!L51-1</f>
        <v>0</v>
      </c>
      <c r="D23" s="971"/>
    </row>
    <row r="24" spans="1:4">
      <c r="B24" s="968">
        <v>2011</v>
      </c>
      <c r="C24" s="972">
        <v>2.5000000000000001E-2</v>
      </c>
      <c r="D24" s="973"/>
    </row>
    <row r="25" spans="1:4">
      <c r="B25" s="970">
        <v>2012</v>
      </c>
      <c r="C25" s="969">
        <v>2.5000000000000001E-2</v>
      </c>
      <c r="D25" s="974"/>
    </row>
    <row r="26" spans="1:4">
      <c r="B26" s="970">
        <v>2013</v>
      </c>
      <c r="C26" s="969">
        <v>1.4999999999999999E-2</v>
      </c>
      <c r="D26" s="974"/>
    </row>
    <row r="27" spans="1:4">
      <c r="B27" s="970">
        <v>2014</v>
      </c>
      <c r="C27" s="969">
        <v>0.01</v>
      </c>
      <c r="D27" s="974"/>
    </row>
    <row r="28" spans="1:4">
      <c r="B28" s="970">
        <v>2015</v>
      </c>
      <c r="C28" s="969">
        <v>0.05</v>
      </c>
      <c r="D28" s="974"/>
    </row>
    <row r="29" spans="1:4">
      <c r="B29" s="970">
        <v>2016</v>
      </c>
      <c r="C29" s="969">
        <v>0.05</v>
      </c>
      <c r="D29" s="974"/>
    </row>
    <row r="30" spans="1:4">
      <c r="B30" s="970">
        <v>2016</v>
      </c>
      <c r="C30" s="969">
        <v>0.05</v>
      </c>
    </row>
    <row r="31" spans="1:4">
      <c r="B31" s="975">
        <v>2017</v>
      </c>
      <c r="C31" s="976">
        <v>0.05</v>
      </c>
    </row>
    <row r="32" spans="1:4" ht="89.25" customHeight="1">
      <c r="A32" s="1098" t="s">
        <v>509</v>
      </c>
      <c r="B32" s="1098"/>
      <c r="C32" s="1098"/>
      <c r="D32" s="1098"/>
    </row>
    <row r="33" spans="2:4">
      <c r="B33" s="977"/>
      <c r="C33" s="977"/>
      <c r="D33" s="977"/>
    </row>
    <row r="34" spans="2:4">
      <c r="B34" s="977"/>
      <c r="C34" s="977"/>
      <c r="D34" s="977"/>
    </row>
    <row r="35" spans="2:4">
      <c r="B35" s="977"/>
      <c r="C35" s="977"/>
      <c r="D35" s="977"/>
    </row>
    <row r="36" spans="2:4">
      <c r="B36" s="977"/>
      <c r="C36" s="977"/>
      <c r="D36" s="977"/>
    </row>
    <row r="37" spans="2:4">
      <c r="B37" s="977"/>
      <c r="C37" s="977"/>
      <c r="D37" s="977"/>
    </row>
    <row r="38" spans="2:4">
      <c r="B38" s="977"/>
      <c r="C38" s="977"/>
      <c r="D38" s="977"/>
    </row>
  </sheetData>
  <mergeCells count="4">
    <mergeCell ref="A1:D1"/>
    <mergeCell ref="A2:D2"/>
    <mergeCell ref="A3:D3"/>
    <mergeCell ref="A32:D3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63"/>
  <sheetViews>
    <sheetView showGridLines="0" workbookViewId="0">
      <selection activeCell="A12" sqref="A12"/>
    </sheetView>
  </sheetViews>
  <sheetFormatPr defaultColWidth="9" defaultRowHeight="12.75"/>
  <cols>
    <col min="1" max="1" width="34.28515625" style="131" customWidth="1"/>
    <col min="2" max="2" width="10" style="132" bestFit="1" customWidth="1"/>
    <col min="3" max="3" width="12.42578125" style="132" bestFit="1" customWidth="1"/>
    <col min="4" max="4" width="13.42578125" style="128" bestFit="1" customWidth="1"/>
    <col min="5" max="5" width="9.28515625" style="128" bestFit="1" customWidth="1"/>
    <col min="6" max="6" width="10.28515625" style="129" customWidth="1"/>
    <col min="7" max="7" width="9.28515625" style="130" bestFit="1" customWidth="1"/>
    <col min="8" max="8" width="8.85546875" style="129" bestFit="1" customWidth="1"/>
    <col min="9" max="9" width="9.28515625" style="129" bestFit="1" customWidth="1"/>
    <col min="10" max="10" width="2.7109375" style="162" customWidth="1"/>
    <col min="11" max="16384" width="9" style="162"/>
  </cols>
  <sheetData>
    <row r="1" spans="1:9" s="126" customFormat="1" ht="15.75">
      <c r="A1" s="999" t="s">
        <v>67</v>
      </c>
      <c r="B1" s="999"/>
      <c r="C1" s="999"/>
      <c r="D1" s="999"/>
      <c r="E1" s="999"/>
      <c r="F1" s="999"/>
      <c r="G1" s="999"/>
      <c r="H1" s="999"/>
      <c r="I1" s="999"/>
    </row>
    <row r="2" spans="1:9" s="126" customFormat="1" ht="15.75">
      <c r="A2" s="999" t="s">
        <v>68</v>
      </c>
      <c r="B2" s="999"/>
      <c r="C2" s="999"/>
      <c r="D2" s="999"/>
      <c r="E2" s="999"/>
      <c r="F2" s="999"/>
      <c r="G2" s="999"/>
      <c r="H2" s="999"/>
      <c r="I2" s="999"/>
    </row>
    <row r="3" spans="1:9" s="126" customFormat="1" ht="15.75">
      <c r="A3" s="999" t="s">
        <v>69</v>
      </c>
      <c r="B3" s="999"/>
      <c r="C3" s="999"/>
      <c r="D3" s="999"/>
      <c r="E3" s="999"/>
      <c r="F3" s="999"/>
      <c r="G3" s="999"/>
      <c r="H3" s="999"/>
      <c r="I3" s="999"/>
    </row>
    <row r="4" spans="1:9" s="126" customFormat="1" ht="14.25" customHeight="1">
      <c r="A4" s="71"/>
      <c r="B4" s="71"/>
      <c r="C4" s="71"/>
      <c r="D4" s="71"/>
      <c r="E4" s="71"/>
      <c r="F4" s="71"/>
      <c r="G4" s="71"/>
      <c r="H4" s="71"/>
      <c r="I4" s="71"/>
    </row>
    <row r="5" spans="1:9" s="126" customFormat="1" ht="14.25" customHeight="1">
      <c r="A5" s="1000" t="s">
        <v>121</v>
      </c>
      <c r="B5" s="1000"/>
      <c r="C5" s="1000"/>
      <c r="D5" s="1000"/>
      <c r="E5" s="1000"/>
      <c r="F5" s="1000"/>
      <c r="G5" s="1000"/>
      <c r="H5" s="1000"/>
      <c r="I5" s="1000"/>
    </row>
    <row r="6" spans="1:9" s="126" customFormat="1" ht="6.95" customHeight="1">
      <c r="A6" s="72"/>
      <c r="B6" s="72"/>
      <c r="C6" s="72"/>
      <c r="D6" s="73"/>
      <c r="E6" s="73"/>
      <c r="F6" s="73"/>
      <c r="G6" s="73"/>
      <c r="H6" s="73"/>
      <c r="I6" s="73"/>
    </row>
    <row r="7" spans="1:9" s="126" customFormat="1" ht="15">
      <c r="A7" s="74"/>
      <c r="B7" s="75"/>
      <c r="C7" s="76" t="s">
        <v>70</v>
      </c>
      <c r="D7" s="77" t="s">
        <v>40</v>
      </c>
      <c r="E7" s="78"/>
      <c r="F7" s="1001" t="s">
        <v>71</v>
      </c>
      <c r="G7" s="1002"/>
      <c r="H7" s="1002"/>
      <c r="I7" s="1003"/>
    </row>
    <row r="8" spans="1:9" s="126" customFormat="1" ht="15">
      <c r="A8" s="79" t="s">
        <v>72</v>
      </c>
      <c r="B8" s="80" t="s">
        <v>73</v>
      </c>
      <c r="C8" s="81" t="s">
        <v>74</v>
      </c>
      <c r="D8" s="82"/>
      <c r="E8" s="83" t="s">
        <v>75</v>
      </c>
      <c r="F8" s="84" t="s">
        <v>76</v>
      </c>
      <c r="G8" s="85"/>
      <c r="H8" s="997" t="s">
        <v>77</v>
      </c>
      <c r="I8" s="998"/>
    </row>
    <row r="9" spans="1:9" s="126" customFormat="1" ht="15" customHeight="1">
      <c r="A9" s="86"/>
      <c r="B9" s="87"/>
      <c r="C9" s="88" t="s">
        <v>78</v>
      </c>
      <c r="D9" s="89" t="s">
        <v>79</v>
      </c>
      <c r="E9" s="90" t="s">
        <v>80</v>
      </c>
      <c r="F9" s="91" t="s">
        <v>79</v>
      </c>
      <c r="G9" s="92" t="s">
        <v>80</v>
      </c>
      <c r="H9" s="91" t="s">
        <v>79</v>
      </c>
      <c r="I9" s="92" t="s">
        <v>80</v>
      </c>
    </row>
    <row r="10" spans="1:9" s="136" customFormat="1" ht="15">
      <c r="A10" s="135" t="s">
        <v>120</v>
      </c>
      <c r="B10" s="94">
        <v>102362</v>
      </c>
      <c r="C10" s="95"/>
      <c r="D10" s="96">
        <v>61656127841</v>
      </c>
      <c r="E10" s="97">
        <v>0.99999999999999989</v>
      </c>
      <c r="F10" s="96">
        <v>12032506069</v>
      </c>
      <c r="G10" s="97">
        <v>0.99999999999999989</v>
      </c>
      <c r="H10" s="96">
        <v>10893156810</v>
      </c>
      <c r="I10" s="97">
        <v>1</v>
      </c>
    </row>
    <row r="11" spans="1:9" s="136" customFormat="1" ht="15">
      <c r="A11" s="137"/>
      <c r="B11" s="99"/>
      <c r="C11" s="138"/>
      <c r="D11" s="101"/>
      <c r="E11" s="102"/>
      <c r="F11" s="101"/>
      <c r="G11" s="102"/>
      <c r="H11" s="101"/>
      <c r="I11" s="102"/>
    </row>
    <row r="12" spans="1:9" s="136" customFormat="1" ht="15">
      <c r="A12" s="86" t="s">
        <v>59</v>
      </c>
      <c r="B12" s="139">
        <v>69058</v>
      </c>
      <c r="C12" s="139">
        <v>119878</v>
      </c>
      <c r="D12" s="101">
        <v>31814363564</v>
      </c>
      <c r="E12" s="103">
        <v>0.5159967821210486</v>
      </c>
      <c r="F12" s="101">
        <v>1464070705</v>
      </c>
      <c r="G12" s="103">
        <v>0.12167629059186306</v>
      </c>
      <c r="H12" s="101">
        <v>1464070705</v>
      </c>
      <c r="I12" s="103">
        <v>0.13440279347268483</v>
      </c>
    </row>
    <row r="13" spans="1:9" s="141" customFormat="1" ht="14.25">
      <c r="A13" s="104" t="s">
        <v>82</v>
      </c>
      <c r="B13" s="110">
        <v>21823</v>
      </c>
      <c r="C13" s="140">
        <v>21823</v>
      </c>
      <c r="D13" s="106">
        <v>9932668417</v>
      </c>
      <c r="E13" s="107">
        <v>0.16109783025321595</v>
      </c>
      <c r="F13" s="106">
        <v>469669592</v>
      </c>
      <c r="G13" s="107">
        <v>3.9033397474033719E-2</v>
      </c>
      <c r="H13" s="106">
        <v>469669592</v>
      </c>
      <c r="I13" s="107">
        <v>4.3116022305750686E-2</v>
      </c>
    </row>
    <row r="14" spans="1:9" s="141" customFormat="1" ht="14.25">
      <c r="A14" s="104" t="s">
        <v>83</v>
      </c>
      <c r="B14" s="110">
        <v>29529</v>
      </c>
      <c r="C14" s="140">
        <v>59058</v>
      </c>
      <c r="D14" s="106">
        <v>13942531264</v>
      </c>
      <c r="E14" s="107">
        <v>0.2261337478077648</v>
      </c>
      <c r="F14" s="106">
        <v>667909224</v>
      </c>
      <c r="G14" s="107">
        <v>5.5508737761684648E-2</v>
      </c>
      <c r="H14" s="106">
        <v>667909224</v>
      </c>
      <c r="I14" s="107">
        <v>6.1314569839557832E-2</v>
      </c>
    </row>
    <row r="15" spans="1:9" s="141" customFormat="1" ht="14.25">
      <c r="A15" s="104" t="s">
        <v>84</v>
      </c>
      <c r="B15" s="110">
        <v>11268</v>
      </c>
      <c r="C15" s="140">
        <v>33804</v>
      </c>
      <c r="D15" s="106">
        <v>5915137914</v>
      </c>
      <c r="E15" s="107">
        <v>9.593755107771397E-2</v>
      </c>
      <c r="F15" s="106">
        <v>258020808</v>
      </c>
      <c r="G15" s="107">
        <v>2.1443646611968313E-2</v>
      </c>
      <c r="H15" s="106">
        <v>258020808</v>
      </c>
      <c r="I15" s="107">
        <v>2.3686504518427107E-2</v>
      </c>
    </row>
    <row r="16" spans="1:9" s="141" customFormat="1" ht="14.25">
      <c r="A16" s="104" t="s">
        <v>85</v>
      </c>
      <c r="B16" s="110">
        <v>2143</v>
      </c>
      <c r="C16" s="140">
        <v>2143</v>
      </c>
      <c r="D16" s="106">
        <v>612890720</v>
      </c>
      <c r="E16" s="107">
        <v>9.9404672570508213E-3</v>
      </c>
      <c r="F16" s="106">
        <v>14323472</v>
      </c>
      <c r="G16" s="107">
        <v>1.1903980698503315E-3</v>
      </c>
      <c r="H16" s="106">
        <v>14323472</v>
      </c>
      <c r="I16" s="107">
        <v>1.3149055181920217E-3</v>
      </c>
    </row>
    <row r="17" spans="1:9" s="141" customFormat="1" ht="14.25">
      <c r="A17" s="104" t="s">
        <v>86</v>
      </c>
      <c r="B17" s="110">
        <v>2512</v>
      </c>
      <c r="C17" s="108">
        <v>0</v>
      </c>
      <c r="D17" s="106">
        <v>563659966</v>
      </c>
      <c r="E17" s="107">
        <v>9.1419942467612803E-3</v>
      </c>
      <c r="F17" s="106">
        <v>17650023</v>
      </c>
      <c r="G17" s="107">
        <v>1.4668617575413251E-3</v>
      </c>
      <c r="H17" s="106">
        <v>17650023</v>
      </c>
      <c r="I17" s="107">
        <v>1.6202854055857477E-3</v>
      </c>
    </row>
    <row r="18" spans="1:9" s="141" customFormat="1" ht="14.25">
      <c r="A18" s="104" t="s">
        <v>87</v>
      </c>
      <c r="B18" s="110">
        <v>1783</v>
      </c>
      <c r="C18" s="140">
        <v>3050</v>
      </c>
      <c r="D18" s="106">
        <v>847475283</v>
      </c>
      <c r="E18" s="107">
        <v>1.3745191478541849E-2</v>
      </c>
      <c r="F18" s="106">
        <v>36497586</v>
      </c>
      <c r="G18" s="107">
        <v>3.033248916784735E-3</v>
      </c>
      <c r="H18" s="106">
        <v>36497586</v>
      </c>
      <c r="I18" s="107">
        <v>3.3505058851714081E-3</v>
      </c>
    </row>
    <row r="19" spans="1:9" s="141" customFormat="1" ht="15" customHeight="1">
      <c r="A19" s="109"/>
      <c r="B19" s="110"/>
      <c r="C19" s="140"/>
      <c r="D19" s="106"/>
      <c r="E19" s="111"/>
      <c r="F19" s="106"/>
      <c r="G19" s="111"/>
      <c r="H19" s="106"/>
      <c r="I19" s="111"/>
    </row>
    <row r="20" spans="1:9" s="136" customFormat="1" ht="15">
      <c r="A20" s="86" t="s">
        <v>60</v>
      </c>
      <c r="B20" s="139">
        <v>23731</v>
      </c>
      <c r="C20" s="139">
        <v>275990</v>
      </c>
      <c r="D20" s="101">
        <v>13255888259</v>
      </c>
      <c r="E20" s="103">
        <v>0.2149970931224312</v>
      </c>
      <c r="F20" s="101">
        <v>4245014654</v>
      </c>
      <c r="G20" s="103">
        <v>0.35279555477945385</v>
      </c>
      <c r="H20" s="101">
        <v>3684075381</v>
      </c>
      <c r="I20" s="103">
        <v>0.33820089486070665</v>
      </c>
    </row>
    <row r="21" spans="1:9" s="141" customFormat="1" ht="14.25">
      <c r="A21" s="104" t="s">
        <v>88</v>
      </c>
      <c r="B21" s="110">
        <v>4724</v>
      </c>
      <c r="C21" s="140">
        <v>206776</v>
      </c>
      <c r="D21" s="106">
        <v>8449486524</v>
      </c>
      <c r="E21" s="107">
        <v>0.1370421208706083</v>
      </c>
      <c r="F21" s="106">
        <v>3170778604</v>
      </c>
      <c r="G21" s="107">
        <v>0.26351772322550904</v>
      </c>
      <c r="H21" s="106">
        <v>2705354753</v>
      </c>
      <c r="I21" s="107">
        <v>0.24835360402748119</v>
      </c>
    </row>
    <row r="22" spans="1:9" s="141" customFormat="1" ht="14.25">
      <c r="A22" s="104" t="s">
        <v>89</v>
      </c>
      <c r="B22" s="110">
        <v>374</v>
      </c>
      <c r="C22" s="140">
        <v>29843</v>
      </c>
      <c r="D22" s="106">
        <v>1486483000</v>
      </c>
      <c r="E22" s="107">
        <v>2.4109249997556946E-2</v>
      </c>
      <c r="F22" s="106">
        <v>579321546</v>
      </c>
      <c r="G22" s="107">
        <v>4.8146374718441874E-2</v>
      </c>
      <c r="H22" s="106">
        <v>502391438</v>
      </c>
      <c r="I22" s="107">
        <v>4.611991241499442E-2</v>
      </c>
    </row>
    <row r="23" spans="1:9" s="141" customFormat="1" ht="14.25">
      <c r="A23" s="104" t="s">
        <v>85</v>
      </c>
      <c r="B23" s="110">
        <v>14130</v>
      </c>
      <c r="C23" s="140">
        <v>14130</v>
      </c>
      <c r="D23" s="106">
        <v>688992496</v>
      </c>
      <c r="E23" s="107">
        <v>1.1174761051760938E-2</v>
      </c>
      <c r="F23" s="106">
        <v>123032583</v>
      </c>
      <c r="G23" s="107">
        <v>1.0225017323446488E-2</v>
      </c>
      <c r="H23" s="106">
        <v>105235951</v>
      </c>
      <c r="I23" s="107">
        <v>9.6607395666417472E-3</v>
      </c>
    </row>
    <row r="24" spans="1:9" s="141" customFormat="1" ht="14.25">
      <c r="A24" s="104" t="s">
        <v>90</v>
      </c>
      <c r="B24" s="110">
        <v>29</v>
      </c>
      <c r="C24" s="140">
        <v>1669</v>
      </c>
      <c r="D24" s="106">
        <v>105542491</v>
      </c>
      <c r="E24" s="107">
        <v>1.7117923991622536E-3</v>
      </c>
      <c r="F24" s="106">
        <v>8456701</v>
      </c>
      <c r="G24" s="107">
        <v>7.028212536528412E-4</v>
      </c>
      <c r="H24" s="106">
        <v>8267314</v>
      </c>
      <c r="I24" s="107">
        <v>7.5894565222916317E-4</v>
      </c>
    </row>
    <row r="25" spans="1:9" s="141" customFormat="1" ht="14.25">
      <c r="A25" s="112" t="s">
        <v>91</v>
      </c>
      <c r="B25" s="110">
        <v>7</v>
      </c>
      <c r="C25" s="140">
        <v>731</v>
      </c>
      <c r="D25" s="106">
        <v>44066000</v>
      </c>
      <c r="E25" s="107">
        <v>7.1470592693784218E-4</v>
      </c>
      <c r="F25" s="106">
        <v>6012014</v>
      </c>
      <c r="G25" s="107">
        <v>4.9964770144509448E-4</v>
      </c>
      <c r="H25" s="106">
        <v>5412719</v>
      </c>
      <c r="I25" s="107">
        <v>4.9689168111773465E-4</v>
      </c>
    </row>
    <row r="26" spans="1:9" s="141" customFormat="1" ht="14.25">
      <c r="A26" s="104" t="s">
        <v>92</v>
      </c>
      <c r="B26" s="140">
        <v>4372</v>
      </c>
      <c r="C26" s="140">
        <v>22537</v>
      </c>
      <c r="D26" s="106">
        <v>2442411020</v>
      </c>
      <c r="E26" s="107">
        <v>3.9613435120326342E-2</v>
      </c>
      <c r="F26" s="106">
        <v>353505945</v>
      </c>
      <c r="G26" s="107">
        <v>2.9379245102627172E-2</v>
      </c>
      <c r="H26" s="106">
        <v>353505945</v>
      </c>
      <c r="I26" s="107">
        <v>3.2452112015451652E-2</v>
      </c>
    </row>
    <row r="27" spans="1:9" s="141" customFormat="1" ht="14.25">
      <c r="A27" s="104" t="s">
        <v>93</v>
      </c>
      <c r="B27" s="140">
        <v>30</v>
      </c>
      <c r="C27" s="140">
        <v>241</v>
      </c>
      <c r="D27" s="106">
        <v>31858000</v>
      </c>
      <c r="E27" s="107">
        <v>5.1670452095460844E-4</v>
      </c>
      <c r="F27" s="106">
        <v>3173736</v>
      </c>
      <c r="G27" s="107">
        <v>2.637635071032018E-4</v>
      </c>
      <c r="H27" s="106">
        <v>3173736</v>
      </c>
      <c r="I27" s="107">
        <v>2.9135135529183666E-4</v>
      </c>
    </row>
    <row r="28" spans="1:9" s="141" customFormat="1" ht="14.25">
      <c r="A28" s="104" t="s">
        <v>94</v>
      </c>
      <c r="B28" s="140">
        <v>65</v>
      </c>
      <c r="C28" s="140">
        <v>63</v>
      </c>
      <c r="D28" s="106">
        <v>7048728</v>
      </c>
      <c r="E28" s="107">
        <v>1.1432323512396683E-4</v>
      </c>
      <c r="F28" s="106">
        <v>733525</v>
      </c>
      <c r="G28" s="107">
        <v>6.0961947228085791E-5</v>
      </c>
      <c r="H28" s="106">
        <v>733525</v>
      </c>
      <c r="I28" s="107">
        <v>6.7338147498860807E-5</v>
      </c>
    </row>
    <row r="29" spans="1:9" s="141" customFormat="1" ht="14.25">
      <c r="A29" s="104" t="s">
        <v>95</v>
      </c>
      <c r="B29" s="108">
        <v>0</v>
      </c>
      <c r="C29" s="108">
        <v>0</v>
      </c>
      <c r="D29" s="108">
        <v>0</v>
      </c>
      <c r="E29" s="142">
        <v>0</v>
      </c>
      <c r="F29" s="108">
        <v>0</v>
      </c>
      <c r="G29" s="142">
        <v>0</v>
      </c>
      <c r="H29" s="108">
        <v>0</v>
      </c>
      <c r="I29" s="142">
        <v>0</v>
      </c>
    </row>
    <row r="30" spans="1:9" s="141" customFormat="1" ht="15" customHeight="1">
      <c r="A30" s="104"/>
      <c r="B30" s="110"/>
      <c r="C30" s="143"/>
      <c r="D30" s="106"/>
      <c r="E30" s="107"/>
      <c r="F30" s="106"/>
      <c r="G30" s="107"/>
      <c r="H30" s="106"/>
      <c r="I30" s="107"/>
    </row>
    <row r="31" spans="1:9" s="136" customFormat="1" ht="15">
      <c r="A31" s="86" t="s">
        <v>61</v>
      </c>
      <c r="B31" s="139">
        <v>31</v>
      </c>
      <c r="C31" s="113">
        <v>0</v>
      </c>
      <c r="D31" s="101">
        <v>4102057275</v>
      </c>
      <c r="E31" s="103">
        <v>6.6531217879566867E-2</v>
      </c>
      <c r="F31" s="101">
        <v>1784950774</v>
      </c>
      <c r="G31" s="103">
        <v>0.14834405765218484</v>
      </c>
      <c r="H31" s="101">
        <v>1784950774</v>
      </c>
      <c r="I31" s="103">
        <v>0.16385982549717834</v>
      </c>
    </row>
    <row r="32" spans="1:9" s="141" customFormat="1" ht="14.25">
      <c r="A32" s="104" t="s">
        <v>96</v>
      </c>
      <c r="B32" s="110">
        <v>7</v>
      </c>
      <c r="C32" s="108">
        <v>0</v>
      </c>
      <c r="D32" s="106">
        <v>3476182145</v>
      </c>
      <c r="E32" s="107">
        <v>5.6380156632029256E-2</v>
      </c>
      <c r="F32" s="106">
        <v>1564281965</v>
      </c>
      <c r="G32" s="107">
        <v>0.13000466868910582</v>
      </c>
      <c r="H32" s="106">
        <v>1564281965</v>
      </c>
      <c r="I32" s="107">
        <v>0.14360226262087564</v>
      </c>
    </row>
    <row r="33" spans="1:9" s="141" customFormat="1" ht="14.25">
      <c r="A33" s="104" t="s">
        <v>97</v>
      </c>
      <c r="B33" s="110">
        <v>24</v>
      </c>
      <c r="C33" s="108">
        <v>0</v>
      </c>
      <c r="D33" s="106">
        <v>625875130</v>
      </c>
      <c r="E33" s="107">
        <v>1.0151061247537613E-2</v>
      </c>
      <c r="F33" s="106">
        <v>220668809</v>
      </c>
      <c r="G33" s="107">
        <v>1.8339388963079028E-2</v>
      </c>
      <c r="H33" s="106">
        <v>220668809</v>
      </c>
      <c r="I33" s="107">
        <v>2.0257562876302704E-2</v>
      </c>
    </row>
    <row r="34" spans="1:9" s="141" customFormat="1" ht="14.25">
      <c r="A34" s="112" t="s">
        <v>87</v>
      </c>
      <c r="B34" s="108">
        <v>0</v>
      </c>
      <c r="C34" s="108">
        <v>0</v>
      </c>
      <c r="D34" s="108">
        <v>0</v>
      </c>
      <c r="E34" s="142">
        <v>0</v>
      </c>
      <c r="F34" s="108">
        <v>0</v>
      </c>
      <c r="G34" s="142">
        <v>0</v>
      </c>
      <c r="H34" s="108">
        <v>0</v>
      </c>
      <c r="I34" s="142">
        <v>0</v>
      </c>
    </row>
    <row r="35" spans="1:9" s="141" customFormat="1" ht="15" customHeight="1">
      <c r="A35" s="109"/>
      <c r="B35" s="110"/>
      <c r="C35" s="114"/>
      <c r="D35" s="106"/>
      <c r="E35" s="111"/>
      <c r="F35" s="106"/>
      <c r="G35" s="111"/>
      <c r="H35" s="106"/>
      <c r="I35" s="111"/>
    </row>
    <row r="36" spans="1:9" s="136" customFormat="1" ht="15">
      <c r="A36" s="86" t="s">
        <v>62</v>
      </c>
      <c r="B36" s="139">
        <v>9542</v>
      </c>
      <c r="C36" s="115">
        <v>86833023</v>
      </c>
      <c r="D36" s="116">
        <v>12483818743</v>
      </c>
      <c r="E36" s="103">
        <v>0.20247490687695324</v>
      </c>
      <c r="F36" s="116">
        <v>4538469936</v>
      </c>
      <c r="G36" s="103">
        <v>0.37718409697649824</v>
      </c>
      <c r="H36" s="116">
        <v>3960059950</v>
      </c>
      <c r="I36" s="103">
        <v>0.36353648616943024</v>
      </c>
    </row>
    <row r="37" spans="1:9" s="141" customFormat="1" ht="14.25">
      <c r="A37" s="117" t="s">
        <v>98</v>
      </c>
      <c r="B37" s="140">
        <v>486</v>
      </c>
      <c r="C37" s="118">
        <v>8396567</v>
      </c>
      <c r="D37" s="106">
        <v>1210444828</v>
      </c>
      <c r="E37" s="107">
        <v>1.9632190187510935E-2</v>
      </c>
      <c r="F37" s="106">
        <v>408899015</v>
      </c>
      <c r="G37" s="107">
        <v>3.3982863807022611E-2</v>
      </c>
      <c r="H37" s="106">
        <v>356777013</v>
      </c>
      <c r="I37" s="107">
        <v>3.2752398521654992E-2</v>
      </c>
    </row>
    <row r="38" spans="1:9" s="141" customFormat="1" ht="14.25">
      <c r="A38" s="109" t="s">
        <v>99</v>
      </c>
      <c r="B38" s="140">
        <v>78</v>
      </c>
      <c r="C38" s="118">
        <v>1996817</v>
      </c>
      <c r="D38" s="106">
        <v>258972979</v>
      </c>
      <c r="E38" s="107">
        <v>4.2002796488914201E-3</v>
      </c>
      <c r="F38" s="106">
        <v>56141550</v>
      </c>
      <c r="G38" s="107">
        <v>4.6658235348528542E-3</v>
      </c>
      <c r="H38" s="106">
        <v>50575318</v>
      </c>
      <c r="I38" s="107">
        <v>4.6428522862694381E-3</v>
      </c>
    </row>
    <row r="39" spans="1:9" s="141" customFormat="1" ht="14.25">
      <c r="A39" s="109" t="s">
        <v>100</v>
      </c>
      <c r="B39" s="140">
        <v>8</v>
      </c>
      <c r="C39" s="118">
        <v>128905</v>
      </c>
      <c r="D39" s="106">
        <v>7693000</v>
      </c>
      <c r="E39" s="107">
        <v>1.2477267498599417E-4</v>
      </c>
      <c r="F39" s="106">
        <v>3461850</v>
      </c>
      <c r="G39" s="107">
        <v>2.8770814493241374E-4</v>
      </c>
      <c r="H39" s="106">
        <v>2806902</v>
      </c>
      <c r="I39" s="107">
        <v>2.576757177885517E-4</v>
      </c>
    </row>
    <row r="40" spans="1:9" s="141" customFormat="1" ht="14.25">
      <c r="A40" s="119" t="s">
        <v>101</v>
      </c>
      <c r="B40" s="140">
        <v>2616</v>
      </c>
      <c r="C40" s="118">
        <v>24092553</v>
      </c>
      <c r="D40" s="106">
        <v>4571590080</v>
      </c>
      <c r="E40" s="107">
        <v>7.4146564827900052E-2</v>
      </c>
      <c r="F40" s="106">
        <v>1790416819</v>
      </c>
      <c r="G40" s="107">
        <v>0.14879833084919428</v>
      </c>
      <c r="H40" s="106">
        <v>1544608813</v>
      </c>
      <c r="I40" s="107">
        <v>0.14179625244924754</v>
      </c>
    </row>
    <row r="41" spans="1:9" s="141" customFormat="1" ht="14.25">
      <c r="A41" s="109" t="s">
        <v>102</v>
      </c>
      <c r="B41" s="140">
        <v>154</v>
      </c>
      <c r="C41" s="118">
        <v>2085790</v>
      </c>
      <c r="D41" s="106">
        <v>317941670</v>
      </c>
      <c r="E41" s="107">
        <v>5.156692142910986E-3</v>
      </c>
      <c r="F41" s="106">
        <v>98261373</v>
      </c>
      <c r="G41" s="107">
        <v>8.1663264856484154E-3</v>
      </c>
      <c r="H41" s="106">
        <v>84136264</v>
      </c>
      <c r="I41" s="107">
        <v>7.7237724075322478E-3</v>
      </c>
    </row>
    <row r="42" spans="1:9" s="141" customFormat="1" ht="14.25">
      <c r="A42" s="109" t="s">
        <v>103</v>
      </c>
      <c r="B42" s="140">
        <v>486</v>
      </c>
      <c r="C42" s="118">
        <v>8490208</v>
      </c>
      <c r="D42" s="106">
        <v>568550400</v>
      </c>
      <c r="E42" s="107">
        <v>9.2213121373140496E-3</v>
      </c>
      <c r="F42" s="106">
        <v>246817247</v>
      </c>
      <c r="G42" s="107">
        <v>2.0512538750002272E-2</v>
      </c>
      <c r="H42" s="106">
        <v>210676807</v>
      </c>
      <c r="I42" s="107">
        <v>1.9340289566620129E-2</v>
      </c>
    </row>
    <row r="43" spans="1:9" s="141" customFormat="1" ht="14.25">
      <c r="A43" s="109" t="s">
        <v>104</v>
      </c>
      <c r="B43" s="140">
        <v>779</v>
      </c>
      <c r="C43" s="118">
        <v>12611307</v>
      </c>
      <c r="D43" s="106">
        <v>876290065</v>
      </c>
      <c r="E43" s="107">
        <v>1.4212538083153609E-2</v>
      </c>
      <c r="F43" s="106">
        <v>359846379</v>
      </c>
      <c r="G43" s="107">
        <v>2.9906187201275702E-2</v>
      </c>
      <c r="H43" s="106">
        <v>311226598</v>
      </c>
      <c r="I43" s="107">
        <v>2.8570836115596136E-2</v>
      </c>
    </row>
    <row r="44" spans="1:9" s="141" customFormat="1" ht="14.25">
      <c r="A44" s="109" t="s">
        <v>105</v>
      </c>
      <c r="B44" s="140">
        <v>1</v>
      </c>
      <c r="C44" s="118">
        <v>10400</v>
      </c>
      <c r="D44" s="106">
        <v>573000</v>
      </c>
      <c r="E44" s="107">
        <v>9.2934801464935219E-6</v>
      </c>
      <c r="F44" s="106">
        <v>257850</v>
      </c>
      <c r="G44" s="107">
        <v>2.1429451065419612E-5</v>
      </c>
      <c r="H44" s="106">
        <v>257850</v>
      </c>
      <c r="I44" s="107">
        <v>2.3670824215372695E-5</v>
      </c>
    </row>
    <row r="45" spans="1:9" s="141" customFormat="1" ht="14.25">
      <c r="A45" s="109" t="s">
        <v>106</v>
      </c>
      <c r="B45" s="140">
        <v>48</v>
      </c>
      <c r="C45" s="118">
        <v>4200508</v>
      </c>
      <c r="D45" s="106">
        <v>371180588</v>
      </c>
      <c r="E45" s="107">
        <v>6.0201735171759013E-3</v>
      </c>
      <c r="F45" s="106">
        <v>98729353</v>
      </c>
      <c r="G45" s="107">
        <v>8.205219464161485E-3</v>
      </c>
      <c r="H45" s="106">
        <v>82735125</v>
      </c>
      <c r="I45" s="107">
        <v>7.5951467919793949E-3</v>
      </c>
    </row>
    <row r="46" spans="1:9" s="141" customFormat="1" ht="14.25">
      <c r="A46" s="109" t="s">
        <v>107</v>
      </c>
      <c r="B46" s="140">
        <v>13</v>
      </c>
      <c r="C46" s="118">
        <v>5589</v>
      </c>
      <c r="D46" s="106">
        <v>403001</v>
      </c>
      <c r="E46" s="107">
        <v>6.5362683988080901E-6</v>
      </c>
      <c r="F46" s="106">
        <v>49942</v>
      </c>
      <c r="G46" s="107">
        <v>4.1505900527794698E-6</v>
      </c>
      <c r="H46" s="106">
        <v>44542</v>
      </c>
      <c r="I46" s="107">
        <v>4.0889891495099118E-6</v>
      </c>
    </row>
    <row r="47" spans="1:9" s="141" customFormat="1" ht="14.25">
      <c r="A47" s="109" t="s">
        <v>108</v>
      </c>
      <c r="B47" s="140">
        <v>1953</v>
      </c>
      <c r="C47" s="118">
        <v>9069429</v>
      </c>
      <c r="D47" s="106">
        <v>953092480</v>
      </c>
      <c r="E47" s="107">
        <v>1.5458195533424562E-2</v>
      </c>
      <c r="F47" s="106">
        <v>411895481</v>
      </c>
      <c r="G47" s="107">
        <v>3.4231894722346223E-2</v>
      </c>
      <c r="H47" s="106">
        <v>356679690</v>
      </c>
      <c r="I47" s="107">
        <v>3.2743464196950268E-2</v>
      </c>
    </row>
    <row r="48" spans="1:9" s="141" customFormat="1" ht="14.25">
      <c r="A48" s="109" t="s">
        <v>109</v>
      </c>
      <c r="B48" s="140">
        <v>332</v>
      </c>
      <c r="C48" s="118">
        <v>643549</v>
      </c>
      <c r="D48" s="106">
        <v>57276820</v>
      </c>
      <c r="E48" s="107">
        <v>9.2897205850660225E-4</v>
      </c>
      <c r="F48" s="106">
        <v>19608603</v>
      </c>
      <c r="G48" s="107">
        <v>1.6296358287754128E-3</v>
      </c>
      <c r="H48" s="106">
        <v>18159202</v>
      </c>
      <c r="I48" s="107">
        <v>1.6670284213048062E-3</v>
      </c>
    </row>
    <row r="49" spans="1:9" s="141" customFormat="1" ht="14.25">
      <c r="A49" s="109" t="s">
        <v>110</v>
      </c>
      <c r="B49" s="140">
        <v>169</v>
      </c>
      <c r="C49" s="118">
        <v>9333754</v>
      </c>
      <c r="D49" s="106">
        <v>1524151673</v>
      </c>
      <c r="E49" s="107">
        <v>2.4720197754398581E-2</v>
      </c>
      <c r="F49" s="106">
        <v>437417869</v>
      </c>
      <c r="G49" s="107">
        <v>3.6353014616543056E-2</v>
      </c>
      <c r="H49" s="106">
        <v>388722686</v>
      </c>
      <c r="I49" s="107">
        <v>3.5685035364876931E-2</v>
      </c>
    </row>
    <row r="50" spans="1:9" s="141" customFormat="1" ht="14.25">
      <c r="A50" s="109" t="s">
        <v>111</v>
      </c>
      <c r="B50" s="140">
        <v>2</v>
      </c>
      <c r="C50" s="118">
        <v>113672</v>
      </c>
      <c r="D50" s="106">
        <v>25892000</v>
      </c>
      <c r="E50" s="107">
        <v>4.1994203831240883E-4</v>
      </c>
      <c r="F50" s="106">
        <v>8241750</v>
      </c>
      <c r="G50" s="107">
        <v>6.8495706154129185E-4</v>
      </c>
      <c r="H50" s="106">
        <v>7646400</v>
      </c>
      <c r="I50" s="107">
        <v>7.0194527935010971E-4</v>
      </c>
    </row>
    <row r="51" spans="1:9" s="141" customFormat="1" ht="14.25">
      <c r="A51" s="109" t="s">
        <v>112</v>
      </c>
      <c r="B51" s="140">
        <v>118</v>
      </c>
      <c r="C51" s="118">
        <v>948072</v>
      </c>
      <c r="D51" s="106">
        <v>151410392</v>
      </c>
      <c r="E51" s="107">
        <v>2.4557233368670186E-3</v>
      </c>
      <c r="F51" s="106">
        <v>49239092</v>
      </c>
      <c r="G51" s="107">
        <v>4.0921726295120977E-3</v>
      </c>
      <c r="H51" s="106">
        <v>45324912</v>
      </c>
      <c r="I51" s="107">
        <v>4.1608610608075882E-3</v>
      </c>
    </row>
    <row r="52" spans="1:9" s="141" customFormat="1" ht="14.25">
      <c r="A52" s="109" t="s">
        <v>113</v>
      </c>
      <c r="B52" s="140">
        <v>5</v>
      </c>
      <c r="C52" s="118">
        <v>54611</v>
      </c>
      <c r="D52" s="106">
        <v>6181000</v>
      </c>
      <c r="E52" s="107">
        <v>1.0024956507063954E-4</v>
      </c>
      <c r="F52" s="106">
        <v>671589</v>
      </c>
      <c r="G52" s="107">
        <v>5.5814557345643173E-5</v>
      </c>
      <c r="H52" s="106">
        <v>438266</v>
      </c>
      <c r="I52" s="107">
        <v>4.0233148906629939E-5</v>
      </c>
    </row>
    <row r="53" spans="1:9" s="141" customFormat="1" ht="14.25">
      <c r="A53" s="109" t="s">
        <v>114</v>
      </c>
      <c r="B53" s="140">
        <v>41</v>
      </c>
      <c r="C53" s="118">
        <v>887378</v>
      </c>
      <c r="D53" s="106">
        <v>161140824</v>
      </c>
      <c r="E53" s="107">
        <v>2.6135410970918095E-3</v>
      </c>
      <c r="F53" s="106">
        <v>64041771</v>
      </c>
      <c r="G53" s="107">
        <v>5.322396733710719E-3</v>
      </c>
      <c r="H53" s="106">
        <v>55119461</v>
      </c>
      <c r="I53" s="107">
        <v>5.0600080363664571E-3</v>
      </c>
    </row>
    <row r="54" spans="1:9" s="141" customFormat="1" ht="14.25">
      <c r="A54" s="109" t="s">
        <v>115</v>
      </c>
      <c r="B54" s="108">
        <v>0</v>
      </c>
      <c r="C54" s="108">
        <v>0</v>
      </c>
      <c r="D54" s="108">
        <v>0</v>
      </c>
      <c r="E54" s="142">
        <v>0</v>
      </c>
      <c r="F54" s="108">
        <v>0</v>
      </c>
      <c r="G54" s="142">
        <v>0</v>
      </c>
      <c r="H54" s="108">
        <v>0</v>
      </c>
      <c r="I54" s="142">
        <v>0</v>
      </c>
    </row>
    <row r="55" spans="1:9" s="141" customFormat="1" ht="14.25">
      <c r="A55" s="109" t="s">
        <v>116</v>
      </c>
      <c r="B55" s="108">
        <v>0</v>
      </c>
      <c r="C55" s="108">
        <v>0</v>
      </c>
      <c r="D55" s="108">
        <v>0</v>
      </c>
      <c r="E55" s="142">
        <v>0</v>
      </c>
      <c r="F55" s="108">
        <v>0</v>
      </c>
      <c r="G55" s="142">
        <v>0</v>
      </c>
      <c r="H55" s="108">
        <v>0</v>
      </c>
      <c r="I55" s="142">
        <v>0</v>
      </c>
    </row>
    <row r="56" spans="1:9" s="141" customFormat="1" ht="14.25">
      <c r="A56" s="109" t="s">
        <v>117</v>
      </c>
      <c r="B56" s="140">
        <v>45</v>
      </c>
      <c r="C56" s="118">
        <v>141943</v>
      </c>
      <c r="D56" s="106">
        <v>14903514</v>
      </c>
      <c r="E56" s="107">
        <v>2.4171991530888003E-4</v>
      </c>
      <c r="F56" s="106">
        <v>6706569</v>
      </c>
      <c r="G56" s="107">
        <v>5.5737092186294412E-4</v>
      </c>
      <c r="H56" s="106">
        <v>5515402</v>
      </c>
      <c r="I56" s="107">
        <v>5.0631805785966645E-4</v>
      </c>
    </row>
    <row r="57" spans="1:9" s="141" customFormat="1" ht="14.25">
      <c r="A57" s="109" t="s">
        <v>118</v>
      </c>
      <c r="B57" s="140">
        <v>911</v>
      </c>
      <c r="C57" s="108">
        <v>0</v>
      </c>
      <c r="D57" s="106">
        <v>596183874</v>
      </c>
      <c r="E57" s="107">
        <v>9.6694991216031336E-3</v>
      </c>
      <c r="F57" s="106">
        <v>204643654</v>
      </c>
      <c r="G57" s="107">
        <v>1.7007567070939162E-2</v>
      </c>
      <c r="H57" s="106">
        <v>198297882</v>
      </c>
      <c r="I57" s="107">
        <v>1.8203894927681666E-2</v>
      </c>
    </row>
    <row r="58" spans="1:9" s="141" customFormat="1" ht="14.25">
      <c r="A58" s="109" t="s">
        <v>86</v>
      </c>
      <c r="B58" s="140">
        <v>711</v>
      </c>
      <c r="C58" s="108">
        <v>0</v>
      </c>
      <c r="D58" s="106">
        <v>278544602</v>
      </c>
      <c r="E58" s="107">
        <v>4.5177115682372426E-3</v>
      </c>
      <c r="F58" s="106">
        <v>125095799</v>
      </c>
      <c r="G58" s="107">
        <v>1.039648750498378E-2</v>
      </c>
      <c r="H58" s="106">
        <v>106136039</v>
      </c>
      <c r="I58" s="107">
        <v>9.7433683229976378E-3</v>
      </c>
    </row>
    <row r="59" spans="1:9" s="141" customFormat="1" ht="14.25">
      <c r="A59" s="121" t="s">
        <v>87</v>
      </c>
      <c r="B59" s="144">
        <v>586</v>
      </c>
      <c r="C59" s="145">
        <v>3621971</v>
      </c>
      <c r="D59" s="124">
        <v>531401953</v>
      </c>
      <c r="E59" s="125">
        <v>8.6188019197441252E-3</v>
      </c>
      <c r="F59" s="124">
        <v>148026381</v>
      </c>
      <c r="G59" s="125">
        <v>1.2302207050729725E-2</v>
      </c>
      <c r="H59" s="124">
        <v>134174778</v>
      </c>
      <c r="I59" s="125">
        <v>1.2317345682275183E-2</v>
      </c>
    </row>
    <row r="60" spans="1:9" s="136" customFormat="1" ht="14.25" customHeight="1">
      <c r="A60" s="146"/>
      <c r="B60" s="147"/>
      <c r="C60" s="147"/>
      <c r="D60" s="148"/>
      <c r="E60" s="148"/>
      <c r="F60" s="149"/>
      <c r="G60" s="150"/>
      <c r="H60" s="149"/>
      <c r="I60" s="150"/>
    </row>
    <row r="61" spans="1:9" s="126" customFormat="1" ht="14.25" customHeight="1">
      <c r="A61" s="151"/>
      <c r="B61" s="147"/>
      <c r="C61" s="152"/>
      <c r="D61" s="153"/>
      <c r="E61" s="153"/>
      <c r="F61" s="154"/>
      <c r="G61" s="155"/>
      <c r="H61" s="154"/>
      <c r="I61" s="154"/>
    </row>
    <row r="62" spans="1:9" s="126" customFormat="1" ht="14.25" customHeight="1">
      <c r="A62" s="151"/>
      <c r="B62" s="156"/>
      <c r="C62" s="152"/>
      <c r="D62" s="153"/>
      <c r="E62" s="153"/>
      <c r="F62" s="154"/>
      <c r="G62" s="155"/>
      <c r="H62" s="154"/>
      <c r="I62" s="154"/>
    </row>
    <row r="63" spans="1:9" s="126" customFormat="1">
      <c r="A63" s="163"/>
      <c r="B63" s="127"/>
      <c r="C63" s="127"/>
      <c r="D63" s="128"/>
      <c r="E63" s="128"/>
      <c r="F63" s="129"/>
      <c r="G63" s="130"/>
      <c r="H63" s="129"/>
      <c r="I63" s="129"/>
    </row>
  </sheetData>
  <mergeCells count="6">
    <mergeCell ref="H8:I8"/>
    <mergeCell ref="A1:I1"/>
    <mergeCell ref="A2:I2"/>
    <mergeCell ref="A3:I3"/>
    <mergeCell ref="A5:I5"/>
    <mergeCell ref="F7:I7"/>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62"/>
  <sheetViews>
    <sheetView showGridLines="0" workbookViewId="0">
      <selection activeCell="F19" sqref="F19"/>
    </sheetView>
  </sheetViews>
  <sheetFormatPr defaultColWidth="9" defaultRowHeight="12.75"/>
  <cols>
    <col min="1" max="1" width="33.7109375" style="131" customWidth="1"/>
    <col min="2" max="2" width="10" style="132" bestFit="1" customWidth="1"/>
    <col min="3" max="3" width="12.42578125" style="132" bestFit="1" customWidth="1"/>
    <col min="4" max="4" width="10.140625" style="128" bestFit="1" customWidth="1"/>
    <col min="5" max="5" width="9.28515625" style="128" bestFit="1" customWidth="1"/>
    <col min="6" max="6" width="9" style="129" bestFit="1" customWidth="1"/>
    <col min="7" max="7" width="9.28515625" style="130" bestFit="1" customWidth="1"/>
    <col min="8" max="8" width="9" style="129" bestFit="1" customWidth="1"/>
    <col min="9" max="9" width="9.28515625" style="129" bestFit="1" customWidth="1"/>
    <col min="10" max="10" width="2.7109375" style="162" customWidth="1"/>
    <col min="11" max="16384" width="9" style="162"/>
  </cols>
  <sheetData>
    <row r="1" spans="1:9" s="126" customFormat="1" ht="15.75">
      <c r="A1" s="999" t="s">
        <v>67</v>
      </c>
      <c r="B1" s="999"/>
      <c r="C1" s="999"/>
      <c r="D1" s="999"/>
      <c r="E1" s="999"/>
      <c r="F1" s="999"/>
      <c r="G1" s="999"/>
      <c r="H1" s="999"/>
      <c r="I1" s="999"/>
    </row>
    <row r="2" spans="1:9" s="126" customFormat="1" ht="15.75">
      <c r="A2" s="999" t="s">
        <v>68</v>
      </c>
      <c r="B2" s="999"/>
      <c r="C2" s="999"/>
      <c r="D2" s="999"/>
      <c r="E2" s="999"/>
      <c r="F2" s="999"/>
      <c r="G2" s="999"/>
      <c r="H2" s="999"/>
      <c r="I2" s="999"/>
    </row>
    <row r="3" spans="1:9" s="126" customFormat="1" ht="15.75">
      <c r="A3" s="999" t="s">
        <v>69</v>
      </c>
      <c r="B3" s="999"/>
      <c r="C3" s="999"/>
      <c r="D3" s="999"/>
      <c r="E3" s="999"/>
      <c r="F3" s="999"/>
      <c r="G3" s="999"/>
      <c r="H3" s="999"/>
      <c r="I3" s="999"/>
    </row>
    <row r="4" spans="1:9" s="126" customFormat="1" ht="15">
      <c r="A4" s="133"/>
      <c r="B4" s="134"/>
      <c r="C4" s="134"/>
      <c r="D4" s="134"/>
      <c r="E4" s="134"/>
      <c r="F4" s="134"/>
      <c r="G4" s="134"/>
      <c r="H4" s="134"/>
      <c r="I4" s="134"/>
    </row>
    <row r="5" spans="1:9" s="126" customFormat="1" ht="14.25" customHeight="1">
      <c r="A5" s="1000" t="s">
        <v>122</v>
      </c>
      <c r="B5" s="1000"/>
      <c r="C5" s="1000"/>
      <c r="D5" s="1000"/>
      <c r="E5" s="1000"/>
      <c r="F5" s="1000"/>
      <c r="G5" s="1000"/>
      <c r="H5" s="1000"/>
      <c r="I5" s="1000"/>
    </row>
    <row r="6" spans="1:9" s="126" customFormat="1" ht="6.95" customHeight="1">
      <c r="A6" s="72"/>
      <c r="B6" s="72"/>
      <c r="C6" s="72"/>
      <c r="D6" s="73"/>
      <c r="E6" s="73"/>
      <c r="F6" s="73"/>
      <c r="G6" s="73"/>
      <c r="H6" s="73"/>
      <c r="I6" s="73"/>
    </row>
    <row r="7" spans="1:9" s="126" customFormat="1" ht="15">
      <c r="A7" s="74"/>
      <c r="B7" s="75"/>
      <c r="C7" s="76" t="s">
        <v>70</v>
      </c>
      <c r="D7" s="77" t="s">
        <v>40</v>
      </c>
      <c r="E7" s="78"/>
      <c r="F7" s="1001" t="s">
        <v>71</v>
      </c>
      <c r="G7" s="1002"/>
      <c r="H7" s="1002"/>
      <c r="I7" s="1003"/>
    </row>
    <row r="8" spans="1:9" s="126" customFormat="1" ht="15">
      <c r="A8" s="79" t="s">
        <v>72</v>
      </c>
      <c r="B8" s="80" t="s">
        <v>73</v>
      </c>
      <c r="C8" s="81" t="s">
        <v>74</v>
      </c>
      <c r="D8" s="82"/>
      <c r="E8" s="83" t="s">
        <v>75</v>
      </c>
      <c r="F8" s="84" t="s">
        <v>76</v>
      </c>
      <c r="G8" s="85"/>
      <c r="H8" s="997" t="s">
        <v>77</v>
      </c>
      <c r="I8" s="998"/>
    </row>
    <row r="9" spans="1:9" s="126" customFormat="1" ht="15" customHeight="1">
      <c r="A9" s="86"/>
      <c r="B9" s="87"/>
      <c r="C9" s="88" t="s">
        <v>78</v>
      </c>
      <c r="D9" s="89" t="s">
        <v>79</v>
      </c>
      <c r="E9" s="90" t="s">
        <v>80</v>
      </c>
      <c r="F9" s="91" t="s">
        <v>79</v>
      </c>
      <c r="G9" s="92" t="s">
        <v>80</v>
      </c>
      <c r="H9" s="91" t="s">
        <v>79</v>
      </c>
      <c r="I9" s="92" t="s">
        <v>80</v>
      </c>
    </row>
    <row r="10" spans="1:9" s="136" customFormat="1" ht="15">
      <c r="A10" s="135" t="s">
        <v>120</v>
      </c>
      <c r="B10" s="94">
        <v>322559</v>
      </c>
      <c r="C10" s="95"/>
      <c r="D10" s="96">
        <v>264149779011</v>
      </c>
      <c r="E10" s="97">
        <v>1</v>
      </c>
      <c r="F10" s="96">
        <v>29083361812</v>
      </c>
      <c r="G10" s="97">
        <v>1</v>
      </c>
      <c r="H10" s="96">
        <v>26098242283</v>
      </c>
      <c r="I10" s="97">
        <v>1</v>
      </c>
    </row>
    <row r="11" spans="1:9" s="136" customFormat="1" ht="15">
      <c r="A11" s="137"/>
      <c r="B11" s="99"/>
      <c r="C11" s="138"/>
      <c r="D11" s="101"/>
      <c r="E11" s="102"/>
      <c r="F11" s="101"/>
      <c r="G11" s="102"/>
      <c r="H11" s="101"/>
      <c r="I11" s="102"/>
    </row>
    <row r="12" spans="1:9" s="136" customFormat="1" ht="15">
      <c r="A12" s="86" t="s">
        <v>59</v>
      </c>
      <c r="B12" s="139">
        <v>215223</v>
      </c>
      <c r="C12" s="139">
        <v>385827</v>
      </c>
      <c r="D12" s="101">
        <v>183508276511</v>
      </c>
      <c r="E12" s="103">
        <v>0.69471296624994772</v>
      </c>
      <c r="F12" s="101">
        <v>5517296737</v>
      </c>
      <c r="G12" s="103">
        <v>0.18970629230089642</v>
      </c>
      <c r="H12" s="101">
        <v>5517296737</v>
      </c>
      <c r="I12" s="103">
        <v>0.21140491674390974</v>
      </c>
    </row>
    <row r="13" spans="1:9" s="141" customFormat="1" ht="14.25">
      <c r="A13" s="104" t="s">
        <v>82</v>
      </c>
      <c r="B13" s="110">
        <v>60784</v>
      </c>
      <c r="C13" s="140">
        <v>60784</v>
      </c>
      <c r="D13" s="106">
        <v>47600197233</v>
      </c>
      <c r="E13" s="107">
        <v>0.18020154100154587</v>
      </c>
      <c r="F13" s="106">
        <v>1591675284</v>
      </c>
      <c r="G13" s="107">
        <v>5.4728036404074289E-2</v>
      </c>
      <c r="H13" s="106">
        <v>1591675284</v>
      </c>
      <c r="I13" s="107">
        <v>6.098783461125247E-2</v>
      </c>
    </row>
    <row r="14" spans="1:9" s="141" customFormat="1" ht="14.25">
      <c r="A14" s="104" t="s">
        <v>83</v>
      </c>
      <c r="B14" s="110">
        <v>95344</v>
      </c>
      <c r="C14" s="140">
        <v>190688</v>
      </c>
      <c r="D14" s="106">
        <v>84280000515</v>
      </c>
      <c r="E14" s="107">
        <v>0.3190614083818345</v>
      </c>
      <c r="F14" s="106">
        <v>2466220490</v>
      </c>
      <c r="G14" s="107">
        <v>8.4798329228308808E-2</v>
      </c>
      <c r="H14" s="106">
        <v>2466220490</v>
      </c>
      <c r="I14" s="107">
        <v>9.4497570497552572E-2</v>
      </c>
    </row>
    <row r="15" spans="1:9" s="141" customFormat="1" ht="14.25">
      <c r="A15" s="104" t="s">
        <v>84</v>
      </c>
      <c r="B15" s="110">
        <v>35409</v>
      </c>
      <c r="C15" s="140">
        <v>106227</v>
      </c>
      <c r="D15" s="106">
        <v>38900015680</v>
      </c>
      <c r="E15" s="107">
        <v>0.14726499422276665</v>
      </c>
      <c r="F15" s="106">
        <v>1012713124</v>
      </c>
      <c r="G15" s="107">
        <v>3.4821047530418148E-2</v>
      </c>
      <c r="H15" s="106">
        <v>1012713124</v>
      </c>
      <c r="I15" s="107">
        <v>3.8803882384817384E-2</v>
      </c>
    </row>
    <row r="16" spans="1:9" s="141" customFormat="1" ht="14.25">
      <c r="A16" s="104" t="s">
        <v>85</v>
      </c>
      <c r="B16" s="110">
        <v>8122</v>
      </c>
      <c r="C16" s="140">
        <v>8122</v>
      </c>
      <c r="D16" s="106">
        <v>3843563052</v>
      </c>
      <c r="E16" s="107">
        <v>1.4550695693900021E-2</v>
      </c>
      <c r="F16" s="106">
        <v>102571404</v>
      </c>
      <c r="G16" s="107">
        <v>3.526806999240312E-3</v>
      </c>
      <c r="H16" s="106">
        <v>102571404</v>
      </c>
      <c r="I16" s="107">
        <v>3.9302035320138576E-3</v>
      </c>
    </row>
    <row r="17" spans="1:9" s="141" customFormat="1" ht="14.25">
      <c r="A17" s="104" t="s">
        <v>86</v>
      </c>
      <c r="B17" s="110">
        <v>3489</v>
      </c>
      <c r="C17" s="108">
        <v>0</v>
      </c>
      <c r="D17" s="106">
        <v>843679017</v>
      </c>
      <c r="E17" s="107">
        <v>3.1939417862048131E-3</v>
      </c>
      <c r="F17" s="106">
        <v>26170392</v>
      </c>
      <c r="G17" s="107">
        <v>8.9984067760701277E-4</v>
      </c>
      <c r="H17" s="106">
        <v>26170392</v>
      </c>
      <c r="I17" s="107">
        <v>1.0027645431526628E-3</v>
      </c>
    </row>
    <row r="18" spans="1:9" s="141" customFormat="1" ht="14.25">
      <c r="A18" s="104" t="s">
        <v>87</v>
      </c>
      <c r="B18" s="110">
        <v>12075</v>
      </c>
      <c r="C18" s="164">
        <v>20006</v>
      </c>
      <c r="D18" s="106">
        <v>8040821014</v>
      </c>
      <c r="E18" s="107">
        <v>3.0440385163695918E-2</v>
      </c>
      <c r="F18" s="106">
        <v>317946043</v>
      </c>
      <c r="G18" s="107">
        <v>1.0932231461247827E-2</v>
      </c>
      <c r="H18" s="106">
        <v>317946043</v>
      </c>
      <c r="I18" s="107">
        <v>1.2182661175120795E-2</v>
      </c>
    </row>
    <row r="19" spans="1:9" s="141" customFormat="1" ht="15" customHeight="1">
      <c r="A19" s="109"/>
      <c r="B19" s="110"/>
      <c r="C19" s="140"/>
      <c r="D19" s="106"/>
      <c r="E19" s="111"/>
      <c r="F19" s="106"/>
      <c r="G19" s="111"/>
      <c r="H19" s="106"/>
      <c r="I19" s="111"/>
    </row>
    <row r="20" spans="1:9" s="136" customFormat="1" ht="15">
      <c r="A20" s="86" t="s">
        <v>60</v>
      </c>
      <c r="B20" s="139">
        <v>74451</v>
      </c>
      <c r="C20" s="139">
        <v>490290</v>
      </c>
      <c r="D20" s="101">
        <v>47513664250</v>
      </c>
      <c r="E20" s="103">
        <v>0.17987395040758825</v>
      </c>
      <c r="F20" s="101">
        <v>10625433385</v>
      </c>
      <c r="G20" s="103">
        <v>0.36534405663570402</v>
      </c>
      <c r="H20" s="101">
        <v>9186378783</v>
      </c>
      <c r="I20" s="103">
        <v>0.35199224083316405</v>
      </c>
    </row>
    <row r="21" spans="1:9" s="141" customFormat="1" ht="14.25">
      <c r="A21" s="104" t="s">
        <v>88</v>
      </c>
      <c r="B21" s="140">
        <v>6003</v>
      </c>
      <c r="C21" s="140">
        <v>227833</v>
      </c>
      <c r="D21" s="106">
        <v>14649286095</v>
      </c>
      <c r="E21" s="107">
        <v>5.5458256107001926E-2</v>
      </c>
      <c r="F21" s="106">
        <v>5341099116</v>
      </c>
      <c r="G21" s="107">
        <v>0.18364792731066684</v>
      </c>
      <c r="H21" s="106">
        <v>4331831463</v>
      </c>
      <c r="I21" s="107">
        <v>0.16598173225718307</v>
      </c>
    </row>
    <row r="22" spans="1:9" s="141" customFormat="1" ht="14.25">
      <c r="A22" s="104" t="s">
        <v>89</v>
      </c>
      <c r="B22" s="140">
        <v>922</v>
      </c>
      <c r="C22" s="140">
        <v>63567</v>
      </c>
      <c r="D22" s="106">
        <v>4443254700</v>
      </c>
      <c r="E22" s="107">
        <v>1.682096694018044E-2</v>
      </c>
      <c r="F22" s="106">
        <v>1832276944</v>
      </c>
      <c r="G22" s="107">
        <v>6.3000864750236321E-2</v>
      </c>
      <c r="H22" s="106">
        <v>1507656624</v>
      </c>
      <c r="I22" s="107">
        <v>5.7768512057306813E-2</v>
      </c>
    </row>
    <row r="23" spans="1:9" s="141" customFormat="1" ht="14.25">
      <c r="A23" s="104" t="s">
        <v>85</v>
      </c>
      <c r="B23" s="140">
        <v>29665</v>
      </c>
      <c r="C23" s="140">
        <v>29665</v>
      </c>
      <c r="D23" s="106">
        <v>3897693565</v>
      </c>
      <c r="E23" s="107">
        <v>1.475561925356632E-2</v>
      </c>
      <c r="F23" s="106">
        <v>592768592</v>
      </c>
      <c r="G23" s="107">
        <v>2.038170813373506E-2</v>
      </c>
      <c r="H23" s="106">
        <v>502707590</v>
      </c>
      <c r="I23" s="107">
        <v>1.9262124420059357E-2</v>
      </c>
    </row>
    <row r="24" spans="1:9" s="141" customFormat="1" ht="14.25">
      <c r="A24" s="104" t="s">
        <v>90</v>
      </c>
      <c r="B24" s="140">
        <v>119</v>
      </c>
      <c r="C24" s="140">
        <v>5780</v>
      </c>
      <c r="D24" s="106">
        <v>755439617</v>
      </c>
      <c r="E24" s="107">
        <v>2.8598911565568307E-3</v>
      </c>
      <c r="F24" s="106">
        <v>92440621</v>
      </c>
      <c r="G24" s="107">
        <v>3.1784709621106577E-3</v>
      </c>
      <c r="H24" s="106">
        <v>81329395</v>
      </c>
      <c r="I24" s="107">
        <v>3.1162786412239239E-3</v>
      </c>
    </row>
    <row r="25" spans="1:9" s="141" customFormat="1" ht="14.25">
      <c r="A25" s="112" t="s">
        <v>91</v>
      </c>
      <c r="B25" s="140">
        <v>29</v>
      </c>
      <c r="C25" s="140">
        <v>1530</v>
      </c>
      <c r="D25" s="106">
        <v>155666000</v>
      </c>
      <c r="E25" s="107">
        <v>5.8930959769425964E-4</v>
      </c>
      <c r="F25" s="106">
        <v>22468715</v>
      </c>
      <c r="G25" s="107">
        <v>7.725625099753513E-4</v>
      </c>
      <c r="H25" s="106">
        <v>18474314</v>
      </c>
      <c r="I25" s="107">
        <v>7.0787579483978845E-4</v>
      </c>
    </row>
    <row r="26" spans="1:9" s="141" customFormat="1" ht="14.25">
      <c r="A26" s="104" t="s">
        <v>92</v>
      </c>
      <c r="B26" s="140">
        <v>28936</v>
      </c>
      <c r="C26" s="140">
        <v>149090</v>
      </c>
      <c r="D26" s="106">
        <v>20607467805</v>
      </c>
      <c r="E26" s="107">
        <v>7.8014329151272321E-2</v>
      </c>
      <c r="F26" s="106">
        <v>2421505683</v>
      </c>
      <c r="G26" s="107">
        <v>8.326085885988839E-2</v>
      </c>
      <c r="H26" s="106">
        <v>2421505683</v>
      </c>
      <c r="I26" s="107">
        <v>9.2784244116598316E-2</v>
      </c>
    </row>
    <row r="27" spans="1:9" s="141" customFormat="1" ht="14.25">
      <c r="A27" s="104" t="s">
        <v>93</v>
      </c>
      <c r="B27" s="140">
        <v>911</v>
      </c>
      <c r="C27" s="140">
        <v>5397</v>
      </c>
      <c r="D27" s="106">
        <v>1375676990</v>
      </c>
      <c r="E27" s="107">
        <v>5.2079429903392526E-3</v>
      </c>
      <c r="F27" s="106">
        <v>171154154</v>
      </c>
      <c r="G27" s="107">
        <v>5.8849508219294168E-3</v>
      </c>
      <c r="H27" s="106">
        <v>171154154</v>
      </c>
      <c r="I27" s="107">
        <v>6.5580720779608685E-3</v>
      </c>
    </row>
    <row r="28" spans="1:9" s="141" customFormat="1" ht="14.25">
      <c r="A28" s="104" t="s">
        <v>94</v>
      </c>
      <c r="B28" s="110">
        <v>7846</v>
      </c>
      <c r="C28" s="110">
        <v>7298</v>
      </c>
      <c r="D28" s="106">
        <v>1604094478</v>
      </c>
      <c r="E28" s="107">
        <v>6.0726701495108981E-3</v>
      </c>
      <c r="F28" s="106">
        <v>147729680</v>
      </c>
      <c r="G28" s="107">
        <v>5.0795255704945948E-3</v>
      </c>
      <c r="H28" s="106">
        <v>147729680</v>
      </c>
      <c r="I28" s="107">
        <v>5.6605222067475742E-3</v>
      </c>
    </row>
    <row r="29" spans="1:9" s="141" customFormat="1" ht="14.25">
      <c r="A29" s="104" t="s">
        <v>95</v>
      </c>
      <c r="B29" s="110">
        <v>20</v>
      </c>
      <c r="C29" s="140">
        <v>130</v>
      </c>
      <c r="D29" s="106">
        <v>25085000</v>
      </c>
      <c r="E29" s="107">
        <v>9.4965061465962402E-5</v>
      </c>
      <c r="F29" s="106">
        <v>3989880</v>
      </c>
      <c r="G29" s="107">
        <v>1.3718771666739528E-4</v>
      </c>
      <c r="H29" s="106">
        <v>3989880</v>
      </c>
      <c r="I29" s="107">
        <v>1.5287926124430792E-4</v>
      </c>
    </row>
    <row r="30" spans="1:9" s="141" customFormat="1" ht="15" customHeight="1">
      <c r="A30" s="104"/>
      <c r="B30" s="110"/>
      <c r="C30" s="165"/>
      <c r="D30" s="106"/>
      <c r="E30" s="107"/>
      <c r="F30" s="106"/>
      <c r="G30" s="107"/>
      <c r="H30" s="106"/>
      <c r="I30" s="107"/>
    </row>
    <row r="31" spans="1:9" s="136" customFormat="1" ht="15">
      <c r="A31" s="86" t="s">
        <v>61</v>
      </c>
      <c r="B31" s="139">
        <v>52</v>
      </c>
      <c r="C31" s="113">
        <v>0</v>
      </c>
      <c r="D31" s="101">
        <v>6605227321</v>
      </c>
      <c r="E31" s="103">
        <v>2.5005613654989801E-2</v>
      </c>
      <c r="F31" s="101">
        <v>2938395412</v>
      </c>
      <c r="G31" s="103">
        <v>0.10103355420168783</v>
      </c>
      <c r="H31" s="101">
        <v>2938395412</v>
      </c>
      <c r="I31" s="103">
        <v>0.11258978210628484</v>
      </c>
    </row>
    <row r="32" spans="1:9" s="141" customFormat="1" ht="14.25">
      <c r="A32" s="104" t="s">
        <v>96</v>
      </c>
      <c r="B32" s="110">
        <v>10</v>
      </c>
      <c r="C32" s="108">
        <v>0</v>
      </c>
      <c r="D32" s="106">
        <v>5641713876</v>
      </c>
      <c r="E32" s="107">
        <v>2.1358010963034205E-2</v>
      </c>
      <c r="F32" s="106">
        <v>2538771244</v>
      </c>
      <c r="G32" s="107">
        <v>8.729290858502077E-2</v>
      </c>
      <c r="H32" s="106">
        <v>2538771244</v>
      </c>
      <c r="I32" s="107">
        <v>9.7277480087374205E-2</v>
      </c>
    </row>
    <row r="33" spans="1:9" s="141" customFormat="1" ht="14.25">
      <c r="A33" s="104" t="s">
        <v>97</v>
      </c>
      <c r="B33" s="110">
        <v>42</v>
      </c>
      <c r="C33" s="108">
        <v>0</v>
      </c>
      <c r="D33" s="106">
        <v>963513445</v>
      </c>
      <c r="E33" s="107">
        <v>3.6476026919555985E-3</v>
      </c>
      <c r="F33" s="106">
        <v>399624168</v>
      </c>
      <c r="G33" s="107">
        <v>1.374064561666706E-2</v>
      </c>
      <c r="H33" s="106">
        <v>399624168</v>
      </c>
      <c r="I33" s="107">
        <v>1.5312302018910642E-2</v>
      </c>
    </row>
    <row r="34" spans="1:9" s="141" customFormat="1" ht="14.25">
      <c r="A34" s="112" t="s">
        <v>87</v>
      </c>
      <c r="B34" s="110">
        <v>0</v>
      </c>
      <c r="C34" s="108">
        <v>0</v>
      </c>
      <c r="D34" s="106">
        <v>0</v>
      </c>
      <c r="E34" s="107">
        <v>0</v>
      </c>
      <c r="F34" s="106">
        <v>0</v>
      </c>
      <c r="G34" s="107">
        <v>0</v>
      </c>
      <c r="H34" s="106">
        <v>0</v>
      </c>
      <c r="I34" s="107">
        <v>0</v>
      </c>
    </row>
    <row r="35" spans="1:9" s="141" customFormat="1" ht="15" customHeight="1">
      <c r="A35" s="109"/>
      <c r="B35" s="110"/>
      <c r="C35" s="166"/>
      <c r="D35" s="106"/>
      <c r="E35" s="111"/>
      <c r="F35" s="106"/>
      <c r="G35" s="111"/>
      <c r="H35" s="106"/>
      <c r="I35" s="111"/>
    </row>
    <row r="36" spans="1:9" s="136" customFormat="1" ht="15">
      <c r="A36" s="86" t="s">
        <v>62</v>
      </c>
      <c r="B36" s="139">
        <v>32833</v>
      </c>
      <c r="C36" s="115">
        <v>194534562</v>
      </c>
      <c r="D36" s="116">
        <v>26522610929</v>
      </c>
      <c r="E36" s="103">
        <v>0.10040746968747423</v>
      </c>
      <c r="F36" s="116">
        <v>10002236278</v>
      </c>
      <c r="G36" s="103">
        <v>0.34391609686171176</v>
      </c>
      <c r="H36" s="116">
        <v>8456171351</v>
      </c>
      <c r="I36" s="103">
        <v>0.3240130603166414</v>
      </c>
    </row>
    <row r="37" spans="1:9" s="141" customFormat="1" ht="14.25">
      <c r="A37" s="117" t="s">
        <v>98</v>
      </c>
      <c r="B37" s="140">
        <v>1515</v>
      </c>
      <c r="C37" s="118">
        <v>25208164</v>
      </c>
      <c r="D37" s="106">
        <v>3515581532</v>
      </c>
      <c r="E37" s="107">
        <v>1.3309045894956439E-2</v>
      </c>
      <c r="F37" s="106">
        <v>1336763788</v>
      </c>
      <c r="G37" s="107">
        <v>4.5963179794725167E-2</v>
      </c>
      <c r="H37" s="106">
        <v>1130044727</v>
      </c>
      <c r="I37" s="107">
        <v>4.3299648870839626E-2</v>
      </c>
    </row>
    <row r="38" spans="1:9" s="141" customFormat="1" ht="14.25">
      <c r="A38" s="109" t="s">
        <v>99</v>
      </c>
      <c r="B38" s="140">
        <v>714</v>
      </c>
      <c r="C38" s="118">
        <v>2700100</v>
      </c>
      <c r="D38" s="106">
        <v>393567367</v>
      </c>
      <c r="E38" s="107">
        <v>1.4899401713435114E-3</v>
      </c>
      <c r="F38" s="106">
        <v>103315625</v>
      </c>
      <c r="G38" s="107">
        <v>3.5523962349280833E-3</v>
      </c>
      <c r="H38" s="106">
        <v>82734073</v>
      </c>
      <c r="I38" s="107">
        <v>3.1701013463995512E-3</v>
      </c>
    </row>
    <row r="39" spans="1:9" s="141" customFormat="1" ht="14.25">
      <c r="A39" s="109" t="s">
        <v>100</v>
      </c>
      <c r="B39" s="140">
        <v>70</v>
      </c>
      <c r="C39" s="118">
        <v>2551226</v>
      </c>
      <c r="D39" s="106">
        <v>205666940</v>
      </c>
      <c r="E39" s="107">
        <v>7.7859970494783344E-4</v>
      </c>
      <c r="F39" s="106">
        <v>74081432</v>
      </c>
      <c r="G39" s="107">
        <v>2.5472100673531312E-3</v>
      </c>
      <c r="H39" s="106">
        <v>56035884</v>
      </c>
      <c r="I39" s="107">
        <v>2.1471133340079736E-3</v>
      </c>
    </row>
    <row r="40" spans="1:9" s="141" customFormat="1" ht="14.25">
      <c r="A40" s="119" t="s">
        <v>101</v>
      </c>
      <c r="B40" s="140">
        <v>6213</v>
      </c>
      <c r="C40" s="118">
        <v>44250512</v>
      </c>
      <c r="D40" s="106">
        <v>7591469135</v>
      </c>
      <c r="E40" s="107">
        <v>2.8739259837441956E-2</v>
      </c>
      <c r="F40" s="106">
        <v>3059493159</v>
      </c>
      <c r="G40" s="107">
        <v>0.10519736950553053</v>
      </c>
      <c r="H40" s="106">
        <v>2553982819</v>
      </c>
      <c r="I40" s="107">
        <v>9.7860338305757313E-2</v>
      </c>
    </row>
    <row r="41" spans="1:9" s="141" customFormat="1" ht="14.25">
      <c r="A41" s="109" t="s">
        <v>102</v>
      </c>
      <c r="B41" s="140">
        <v>421</v>
      </c>
      <c r="C41" s="118">
        <v>3270217</v>
      </c>
      <c r="D41" s="106">
        <v>691501351</v>
      </c>
      <c r="E41" s="107">
        <v>2.6178380825796709E-3</v>
      </c>
      <c r="F41" s="106">
        <v>143867407</v>
      </c>
      <c r="G41" s="107">
        <v>4.9467254827686149E-3</v>
      </c>
      <c r="H41" s="106">
        <v>110647518</v>
      </c>
      <c r="I41" s="107">
        <v>4.2396540272780789E-3</v>
      </c>
    </row>
    <row r="42" spans="1:9" s="141" customFormat="1" ht="14.25">
      <c r="A42" s="109" t="s">
        <v>103</v>
      </c>
      <c r="B42" s="140">
        <v>1712</v>
      </c>
      <c r="C42" s="118">
        <v>24393664</v>
      </c>
      <c r="D42" s="106">
        <v>1679672859</v>
      </c>
      <c r="E42" s="107">
        <v>6.3587895673766709E-3</v>
      </c>
      <c r="F42" s="106">
        <v>699385533</v>
      </c>
      <c r="G42" s="107">
        <v>2.4047616555505236E-2</v>
      </c>
      <c r="H42" s="106">
        <v>597698516</v>
      </c>
      <c r="I42" s="107">
        <v>2.2901868620835503E-2</v>
      </c>
    </row>
    <row r="43" spans="1:9" s="141" customFormat="1" ht="14.25">
      <c r="A43" s="109" t="s">
        <v>104</v>
      </c>
      <c r="B43" s="140">
        <v>2682</v>
      </c>
      <c r="C43" s="118">
        <v>42218726</v>
      </c>
      <c r="D43" s="106">
        <v>2926943989</v>
      </c>
      <c r="E43" s="107">
        <v>1.1080622516356954E-2</v>
      </c>
      <c r="F43" s="106">
        <v>1247254221</v>
      </c>
      <c r="G43" s="107">
        <v>4.2885489960289742E-2</v>
      </c>
      <c r="H43" s="106">
        <v>1032493498</v>
      </c>
      <c r="I43" s="107">
        <v>3.9561802162920018E-2</v>
      </c>
    </row>
    <row r="44" spans="1:9" s="141" customFormat="1" ht="14.25">
      <c r="A44" s="109" t="s">
        <v>105</v>
      </c>
      <c r="B44" s="140">
        <v>300</v>
      </c>
      <c r="C44" s="118">
        <v>228222</v>
      </c>
      <c r="D44" s="106">
        <v>16374730</v>
      </c>
      <c r="E44" s="107">
        <v>6.1990322540902469E-5</v>
      </c>
      <c r="F44" s="106">
        <v>6167813</v>
      </c>
      <c r="G44" s="107">
        <v>2.1207359176252853E-4</v>
      </c>
      <c r="H44" s="106">
        <v>4659978</v>
      </c>
      <c r="I44" s="107">
        <v>1.7855524327917819E-4</v>
      </c>
    </row>
    <row r="45" spans="1:9" s="141" customFormat="1" ht="14.25">
      <c r="A45" s="109" t="s">
        <v>106</v>
      </c>
      <c r="B45" s="140">
        <v>67</v>
      </c>
      <c r="C45" s="118">
        <v>5423781</v>
      </c>
      <c r="D45" s="106">
        <v>463988000</v>
      </c>
      <c r="E45" s="107">
        <v>1.7565337428530582E-3</v>
      </c>
      <c r="F45" s="106">
        <v>140297503</v>
      </c>
      <c r="G45" s="107">
        <v>4.8239781874911125E-3</v>
      </c>
      <c r="H45" s="106">
        <v>119858235</v>
      </c>
      <c r="I45" s="107">
        <v>4.5925788296506788E-3</v>
      </c>
    </row>
    <row r="46" spans="1:9" s="141" customFormat="1" ht="14.25">
      <c r="A46" s="109" t="s">
        <v>107</v>
      </c>
      <c r="B46" s="140">
        <v>920</v>
      </c>
      <c r="C46" s="118">
        <v>151207</v>
      </c>
      <c r="D46" s="106">
        <v>12647667</v>
      </c>
      <c r="E46" s="107">
        <v>4.7880664702253311E-5</v>
      </c>
      <c r="F46" s="106">
        <v>2487149</v>
      </c>
      <c r="G46" s="107">
        <v>8.5517933452032522E-5</v>
      </c>
      <c r="H46" s="106">
        <v>2064070</v>
      </c>
      <c r="I46" s="107">
        <v>7.9088468013208075E-5</v>
      </c>
    </row>
    <row r="47" spans="1:9" s="141" customFormat="1" ht="14.25">
      <c r="A47" s="109" t="s">
        <v>108</v>
      </c>
      <c r="B47" s="140">
        <v>3920</v>
      </c>
      <c r="C47" s="118">
        <v>10957217</v>
      </c>
      <c r="D47" s="106">
        <v>1727646993</v>
      </c>
      <c r="E47" s="107">
        <v>6.5404067323791152E-3</v>
      </c>
      <c r="F47" s="106">
        <v>747135557</v>
      </c>
      <c r="G47" s="107">
        <v>2.5689449583910434E-2</v>
      </c>
      <c r="H47" s="106">
        <v>643801538</v>
      </c>
      <c r="I47" s="107">
        <v>2.4668386898199751E-2</v>
      </c>
    </row>
    <row r="48" spans="1:9" s="141" customFormat="1" ht="14.25">
      <c r="A48" s="109" t="s">
        <v>109</v>
      </c>
      <c r="B48" s="140">
        <v>8202</v>
      </c>
      <c r="C48" s="118">
        <v>2822234</v>
      </c>
      <c r="D48" s="106">
        <v>247922214</v>
      </c>
      <c r="E48" s="107">
        <v>9.3856680451614451E-4</v>
      </c>
      <c r="F48" s="106">
        <v>45079235</v>
      </c>
      <c r="G48" s="107">
        <v>1.5500008317951741E-3</v>
      </c>
      <c r="H48" s="106">
        <v>38662830</v>
      </c>
      <c r="I48" s="107">
        <v>1.4814342506577305E-3</v>
      </c>
    </row>
    <row r="49" spans="1:9" s="141" customFormat="1" ht="14.25">
      <c r="A49" s="109" t="s">
        <v>110</v>
      </c>
      <c r="B49" s="140">
        <v>477</v>
      </c>
      <c r="C49" s="118">
        <v>12769886</v>
      </c>
      <c r="D49" s="106">
        <v>2032459175</v>
      </c>
      <c r="E49" s="107">
        <v>7.6943436508245654E-3</v>
      </c>
      <c r="F49" s="106">
        <v>740138313</v>
      </c>
      <c r="G49" s="107">
        <v>2.5448856902595549E-2</v>
      </c>
      <c r="H49" s="106">
        <v>641023476</v>
      </c>
      <c r="I49" s="107">
        <v>2.4561940572432842E-2</v>
      </c>
    </row>
    <row r="50" spans="1:9" s="141" customFormat="1" ht="14.25">
      <c r="A50" s="109" t="s">
        <v>111</v>
      </c>
      <c r="B50" s="140">
        <v>44</v>
      </c>
      <c r="C50" s="118">
        <v>1523213</v>
      </c>
      <c r="D50" s="106">
        <v>170445001</v>
      </c>
      <c r="E50" s="107">
        <v>6.4525891953482253E-4</v>
      </c>
      <c r="F50" s="106">
        <v>65795705</v>
      </c>
      <c r="G50" s="107">
        <v>2.2623142890190991E-3</v>
      </c>
      <c r="H50" s="106">
        <v>57772779</v>
      </c>
      <c r="I50" s="107">
        <v>2.2136655171460461E-3</v>
      </c>
    </row>
    <row r="51" spans="1:9" s="141" customFormat="1" ht="14.25">
      <c r="A51" s="109" t="s">
        <v>112</v>
      </c>
      <c r="B51" s="140">
        <v>250</v>
      </c>
      <c r="C51" s="118">
        <v>2102280</v>
      </c>
      <c r="D51" s="106">
        <v>452910525</v>
      </c>
      <c r="E51" s="107">
        <v>1.7145974026392785E-3</v>
      </c>
      <c r="F51" s="106">
        <v>166208612</v>
      </c>
      <c r="G51" s="107">
        <v>5.7149036990428378E-3</v>
      </c>
      <c r="H51" s="106">
        <v>120477206</v>
      </c>
      <c r="I51" s="107">
        <v>4.6162957908654646E-3</v>
      </c>
    </row>
    <row r="52" spans="1:9" s="141" customFormat="1" ht="14.25">
      <c r="A52" s="109" t="s">
        <v>113</v>
      </c>
      <c r="B52" s="140">
        <v>90</v>
      </c>
      <c r="C52" s="118">
        <v>386352</v>
      </c>
      <c r="D52" s="106">
        <v>50878043</v>
      </c>
      <c r="E52" s="107">
        <v>1.9261058324747372E-4</v>
      </c>
      <c r="F52" s="106">
        <v>8856661</v>
      </c>
      <c r="G52" s="107">
        <v>3.0452672759260173E-4</v>
      </c>
      <c r="H52" s="106">
        <v>8218156</v>
      </c>
      <c r="I52" s="107">
        <v>3.1489308402019023E-4</v>
      </c>
    </row>
    <row r="53" spans="1:9" s="141" customFormat="1" ht="14.25">
      <c r="A53" s="109" t="s">
        <v>114</v>
      </c>
      <c r="B53" s="140">
        <v>106</v>
      </c>
      <c r="C53" s="118">
        <v>4448055</v>
      </c>
      <c r="D53" s="106">
        <v>1015752004</v>
      </c>
      <c r="E53" s="107">
        <v>3.845363822763982E-3</v>
      </c>
      <c r="F53" s="106">
        <v>279221013</v>
      </c>
      <c r="G53" s="107">
        <v>9.6007131089223471E-3</v>
      </c>
      <c r="H53" s="106">
        <v>254875023</v>
      </c>
      <c r="I53" s="107">
        <v>9.7659842466104214E-3</v>
      </c>
    </row>
    <row r="54" spans="1:9" s="141" customFormat="1" ht="14.25">
      <c r="A54" s="109" t="s">
        <v>115</v>
      </c>
      <c r="B54" s="140">
        <v>1</v>
      </c>
      <c r="C54" s="118">
        <v>47639</v>
      </c>
      <c r="D54" s="106">
        <v>23788000</v>
      </c>
      <c r="E54" s="107">
        <v>9.0054968393554462E-5</v>
      </c>
      <c r="F54" s="106">
        <v>242345</v>
      </c>
      <c r="G54" s="107">
        <v>8.3327712101015351E-6</v>
      </c>
      <c r="H54" s="106">
        <v>242345</v>
      </c>
      <c r="I54" s="107">
        <v>9.2858744038045762E-6</v>
      </c>
    </row>
    <row r="55" spans="1:9" s="141" customFormat="1" ht="14.25">
      <c r="A55" s="109" t="s">
        <v>116</v>
      </c>
      <c r="B55" s="140">
        <v>234</v>
      </c>
      <c r="C55" s="118">
        <v>56995</v>
      </c>
      <c r="D55" s="106">
        <v>4665976</v>
      </c>
      <c r="E55" s="107">
        <v>1.7664129864010579E-5</v>
      </c>
      <c r="F55" s="106">
        <v>576618</v>
      </c>
      <c r="G55" s="107">
        <v>1.9826387462610437E-5</v>
      </c>
      <c r="H55" s="106">
        <v>529164</v>
      </c>
      <c r="I55" s="107">
        <v>2.0275848245331426E-5</v>
      </c>
    </row>
    <row r="56" spans="1:9" s="141" customFormat="1" ht="14.25">
      <c r="A56" s="109" t="s">
        <v>117</v>
      </c>
      <c r="B56" s="140">
        <v>23</v>
      </c>
      <c r="C56" s="118">
        <v>138747</v>
      </c>
      <c r="D56" s="106">
        <v>8145270</v>
      </c>
      <c r="E56" s="107">
        <v>3.0835800925128945E-5</v>
      </c>
      <c r="F56" s="106">
        <v>3537998</v>
      </c>
      <c r="G56" s="107">
        <v>1.2165024191048633E-4</v>
      </c>
      <c r="H56" s="106">
        <v>3128459</v>
      </c>
      <c r="I56" s="107">
        <v>1.1987240236626321E-4</v>
      </c>
    </row>
    <row r="57" spans="1:9" s="141" customFormat="1" ht="14.25">
      <c r="A57" s="109" t="s">
        <v>118</v>
      </c>
      <c r="B57" s="140">
        <v>1663</v>
      </c>
      <c r="C57" s="108">
        <v>0</v>
      </c>
      <c r="D57" s="106">
        <v>899490429</v>
      </c>
      <c r="E57" s="107">
        <v>3.4052287772784488E-3</v>
      </c>
      <c r="F57" s="106">
        <v>360173352</v>
      </c>
      <c r="G57" s="107">
        <v>1.2384171896227964E-2</v>
      </c>
      <c r="H57" s="106">
        <v>345827307</v>
      </c>
      <c r="I57" s="107">
        <v>1.3250980784451782E-2</v>
      </c>
    </row>
    <row r="58" spans="1:9" s="141" customFormat="1" ht="14.25">
      <c r="A58" s="109" t="s">
        <v>86</v>
      </c>
      <c r="B58" s="140">
        <v>1522</v>
      </c>
      <c r="C58" s="108">
        <v>0</v>
      </c>
      <c r="D58" s="106">
        <v>729400214</v>
      </c>
      <c r="E58" s="107">
        <v>2.7613129820927298E-3</v>
      </c>
      <c r="F58" s="106">
        <v>324591873</v>
      </c>
      <c r="G58" s="107">
        <v>1.1160741151529157E-2</v>
      </c>
      <c r="H58" s="106">
        <v>250251013</v>
      </c>
      <c r="I58" s="107">
        <v>9.5888071804364275E-3</v>
      </c>
    </row>
    <row r="59" spans="1:9" s="141" customFormat="1" ht="14.25">
      <c r="A59" s="121" t="s">
        <v>87</v>
      </c>
      <c r="B59" s="144">
        <v>1687</v>
      </c>
      <c r="C59" s="145">
        <v>8886125</v>
      </c>
      <c r="D59" s="124">
        <v>1661693515</v>
      </c>
      <c r="E59" s="125">
        <v>6.2907246079157309E-3</v>
      </c>
      <c r="F59" s="124">
        <v>447565366</v>
      </c>
      <c r="G59" s="125">
        <v>1.5389051956687187E-2</v>
      </c>
      <c r="H59" s="124">
        <v>401142737</v>
      </c>
      <c r="I59" s="125">
        <v>1.537048865782422E-2</v>
      </c>
    </row>
    <row r="60" spans="1:9" s="136" customFormat="1" ht="8.25" customHeight="1">
      <c r="A60" s="146"/>
      <c r="B60" s="147"/>
      <c r="C60" s="147"/>
      <c r="D60" s="148"/>
      <c r="E60" s="148"/>
      <c r="F60" s="149"/>
      <c r="G60" s="150"/>
      <c r="H60" s="149"/>
      <c r="I60" s="150"/>
    </row>
    <row r="61" spans="1:9" s="126" customFormat="1">
      <c r="A61" s="151"/>
      <c r="B61" s="147"/>
      <c r="C61" s="152"/>
      <c r="D61" s="153"/>
      <c r="E61" s="153"/>
      <c r="F61" s="154"/>
      <c r="G61" s="155"/>
      <c r="H61" s="154"/>
      <c r="I61" s="154"/>
    </row>
    <row r="62" spans="1:9" s="126" customFormat="1">
      <c r="A62" s="151"/>
      <c r="B62" s="156"/>
      <c r="C62" s="152"/>
      <c r="D62" s="153"/>
      <c r="E62" s="153"/>
      <c r="F62" s="154"/>
      <c r="G62" s="155"/>
      <c r="H62" s="154"/>
      <c r="I62" s="154"/>
    </row>
  </sheetData>
  <mergeCells count="6">
    <mergeCell ref="H8:I8"/>
    <mergeCell ref="A1:I1"/>
    <mergeCell ref="A2:I2"/>
    <mergeCell ref="A3:I3"/>
    <mergeCell ref="A5:I5"/>
    <mergeCell ref="F7:I7"/>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63"/>
  <sheetViews>
    <sheetView showGridLines="0" topLeftCell="A13" workbookViewId="0">
      <selection activeCell="C28" sqref="C28"/>
    </sheetView>
  </sheetViews>
  <sheetFormatPr defaultColWidth="9" defaultRowHeight="12.75"/>
  <cols>
    <col min="1" max="1" width="34" style="131" customWidth="1"/>
    <col min="2" max="2" width="10" style="132" bestFit="1" customWidth="1"/>
    <col min="3" max="3" width="12.42578125" style="132" bestFit="1" customWidth="1"/>
    <col min="4" max="4" width="10.140625" style="128" bestFit="1" customWidth="1"/>
    <col min="5" max="5" width="9.28515625" style="128" bestFit="1" customWidth="1"/>
    <col min="6" max="6" width="9" style="129" bestFit="1" customWidth="1"/>
    <col min="7" max="7" width="9.28515625" style="130" bestFit="1" customWidth="1"/>
    <col min="8" max="8" width="9" style="129" bestFit="1" customWidth="1"/>
    <col min="9" max="9" width="9.28515625" style="129" bestFit="1" customWidth="1"/>
    <col min="10" max="10" width="2.7109375" style="162" customWidth="1"/>
    <col min="11" max="16384" width="9" style="162"/>
  </cols>
  <sheetData>
    <row r="1" spans="1:9" s="126" customFormat="1" ht="15.75">
      <c r="A1" s="999" t="s">
        <v>67</v>
      </c>
      <c r="B1" s="999"/>
      <c r="C1" s="999"/>
      <c r="D1" s="999"/>
      <c r="E1" s="999"/>
      <c r="F1" s="999"/>
      <c r="G1" s="999"/>
      <c r="H1" s="999"/>
      <c r="I1" s="999"/>
    </row>
    <row r="2" spans="1:9" s="126" customFormat="1" ht="15.75">
      <c r="A2" s="999" t="s">
        <v>68</v>
      </c>
      <c r="B2" s="999"/>
      <c r="C2" s="999"/>
      <c r="D2" s="999"/>
      <c r="E2" s="999"/>
      <c r="F2" s="999"/>
      <c r="G2" s="999"/>
      <c r="H2" s="999"/>
      <c r="I2" s="999"/>
    </row>
    <row r="3" spans="1:9" s="126" customFormat="1" ht="15.75">
      <c r="A3" s="999" t="s">
        <v>69</v>
      </c>
      <c r="B3" s="999"/>
      <c r="C3" s="999"/>
      <c r="D3" s="999"/>
      <c r="E3" s="999"/>
      <c r="F3" s="999"/>
      <c r="G3" s="999"/>
      <c r="H3" s="999"/>
      <c r="I3" s="999"/>
    </row>
    <row r="4" spans="1:9" s="126" customFormat="1" ht="15">
      <c r="A4" s="133"/>
      <c r="B4" s="134"/>
      <c r="C4" s="134"/>
      <c r="D4" s="134"/>
      <c r="E4" s="134"/>
      <c r="F4" s="134"/>
      <c r="G4" s="134"/>
      <c r="H4" s="134"/>
      <c r="I4" s="134"/>
    </row>
    <row r="5" spans="1:9" s="126" customFormat="1" ht="14.25" customHeight="1">
      <c r="A5" s="1000" t="s">
        <v>123</v>
      </c>
      <c r="B5" s="1000"/>
      <c r="C5" s="1000"/>
      <c r="D5" s="1000"/>
      <c r="E5" s="1000"/>
      <c r="F5" s="1000"/>
      <c r="G5" s="1000"/>
      <c r="H5" s="1000"/>
      <c r="I5" s="1000"/>
    </row>
    <row r="6" spans="1:9" s="126" customFormat="1" ht="6.95" customHeight="1">
      <c r="A6" s="72"/>
      <c r="B6" s="72"/>
      <c r="C6" s="72"/>
      <c r="D6" s="73"/>
      <c r="E6" s="73"/>
      <c r="F6" s="73"/>
      <c r="G6" s="73"/>
      <c r="H6" s="73"/>
      <c r="I6" s="73"/>
    </row>
    <row r="7" spans="1:9" s="126" customFormat="1" ht="15">
      <c r="A7" s="74"/>
      <c r="B7" s="75"/>
      <c r="C7" s="76" t="s">
        <v>70</v>
      </c>
      <c r="D7" s="77" t="s">
        <v>40</v>
      </c>
      <c r="E7" s="78"/>
      <c r="F7" s="1001" t="s">
        <v>71</v>
      </c>
      <c r="G7" s="1002"/>
      <c r="H7" s="1002"/>
      <c r="I7" s="1003"/>
    </row>
    <row r="8" spans="1:9" s="126" customFormat="1" ht="15">
      <c r="A8" s="79" t="s">
        <v>72</v>
      </c>
      <c r="B8" s="80" t="s">
        <v>73</v>
      </c>
      <c r="C8" s="81" t="s">
        <v>74</v>
      </c>
      <c r="D8" s="82"/>
      <c r="E8" s="83" t="s">
        <v>75</v>
      </c>
      <c r="F8" s="84" t="s">
        <v>76</v>
      </c>
      <c r="G8" s="85"/>
      <c r="H8" s="997" t="s">
        <v>77</v>
      </c>
      <c r="I8" s="998"/>
    </row>
    <row r="9" spans="1:9" s="126" customFormat="1" ht="15" customHeight="1">
      <c r="A9" s="86"/>
      <c r="B9" s="87"/>
      <c r="C9" s="88" t="s">
        <v>78</v>
      </c>
      <c r="D9" s="89" t="s">
        <v>79</v>
      </c>
      <c r="E9" s="90" t="s">
        <v>80</v>
      </c>
      <c r="F9" s="91" t="s">
        <v>79</v>
      </c>
      <c r="G9" s="92" t="s">
        <v>80</v>
      </c>
      <c r="H9" s="91" t="s">
        <v>79</v>
      </c>
      <c r="I9" s="92" t="s">
        <v>80</v>
      </c>
    </row>
    <row r="10" spans="1:9" s="136" customFormat="1" ht="15">
      <c r="A10" s="135" t="s">
        <v>120</v>
      </c>
      <c r="B10" s="94">
        <v>357346</v>
      </c>
      <c r="C10" s="95"/>
      <c r="D10" s="96">
        <v>254172895796</v>
      </c>
      <c r="E10" s="97">
        <v>1</v>
      </c>
      <c r="F10" s="96">
        <v>31930690958</v>
      </c>
      <c r="G10" s="97">
        <v>1</v>
      </c>
      <c r="H10" s="96">
        <v>29332448644</v>
      </c>
      <c r="I10" s="97">
        <v>1</v>
      </c>
    </row>
    <row r="11" spans="1:9" s="136" customFormat="1" ht="15">
      <c r="A11" s="137"/>
      <c r="B11" s="99"/>
      <c r="C11" s="138"/>
      <c r="D11" s="101"/>
      <c r="E11" s="102"/>
      <c r="F11" s="101"/>
      <c r="G11" s="102"/>
      <c r="H11" s="101"/>
      <c r="I11" s="102"/>
    </row>
    <row r="12" spans="1:9" s="136" customFormat="1" ht="15">
      <c r="A12" s="86" t="s">
        <v>59</v>
      </c>
      <c r="B12" s="139">
        <v>288480</v>
      </c>
      <c r="C12" s="139">
        <v>429697</v>
      </c>
      <c r="D12" s="101">
        <v>187888862030</v>
      </c>
      <c r="E12" s="103">
        <v>0.73921675024232414</v>
      </c>
      <c r="F12" s="101">
        <v>7761454016</v>
      </c>
      <c r="G12" s="103">
        <v>0.24307190928655506</v>
      </c>
      <c r="H12" s="101">
        <v>7761454016</v>
      </c>
      <c r="I12" s="103">
        <v>0.26460300366323553</v>
      </c>
    </row>
    <row r="13" spans="1:9" s="141" customFormat="1" ht="14.25">
      <c r="A13" s="104" t="s">
        <v>82</v>
      </c>
      <c r="B13" s="110">
        <v>153139</v>
      </c>
      <c r="C13" s="140">
        <v>153139</v>
      </c>
      <c r="D13" s="106">
        <v>94958850378</v>
      </c>
      <c r="E13" s="107">
        <v>0.37359943545756463</v>
      </c>
      <c r="F13" s="106">
        <v>3965120201</v>
      </c>
      <c r="G13" s="107">
        <v>0.12417896644377401</v>
      </c>
      <c r="H13" s="106">
        <v>3965120201</v>
      </c>
      <c r="I13" s="107">
        <v>0.1351786292758437</v>
      </c>
    </row>
    <row r="14" spans="1:9" s="141" customFormat="1" ht="14.25">
      <c r="A14" s="104" t="s">
        <v>83</v>
      </c>
      <c r="B14" s="110">
        <v>92589</v>
      </c>
      <c r="C14" s="140">
        <v>185178</v>
      </c>
      <c r="D14" s="106">
        <v>62745151434</v>
      </c>
      <c r="E14" s="107">
        <v>0.24686011951628181</v>
      </c>
      <c r="F14" s="106">
        <v>2615481033</v>
      </c>
      <c r="G14" s="107">
        <v>8.1911194356560288E-2</v>
      </c>
      <c r="H14" s="106">
        <v>2615481033</v>
      </c>
      <c r="I14" s="107">
        <v>8.9166815383992876E-2</v>
      </c>
    </row>
    <row r="15" spans="1:9" s="141" customFormat="1" ht="14.25">
      <c r="A15" s="104" t="s">
        <v>84</v>
      </c>
      <c r="B15" s="110">
        <v>23835</v>
      </c>
      <c r="C15" s="140">
        <v>71505</v>
      </c>
      <c r="D15" s="106">
        <v>21392553435</v>
      </c>
      <c r="E15" s="107">
        <v>8.4165360621967084E-2</v>
      </c>
      <c r="F15" s="106">
        <v>841382263</v>
      </c>
      <c r="G15" s="107">
        <v>2.6350267963405841E-2</v>
      </c>
      <c r="H15" s="106">
        <v>841382263</v>
      </c>
      <c r="I15" s="107">
        <v>2.868435135476172E-2</v>
      </c>
    </row>
    <row r="16" spans="1:9" s="141" customFormat="1" ht="14.25">
      <c r="A16" s="104" t="s">
        <v>85</v>
      </c>
      <c r="B16" s="110">
        <v>5930</v>
      </c>
      <c r="C16" s="140">
        <v>5930</v>
      </c>
      <c r="D16" s="106">
        <v>2729976638</v>
      </c>
      <c r="E16" s="107">
        <v>1.0740628458634268E-2</v>
      </c>
      <c r="F16" s="106">
        <v>93227326</v>
      </c>
      <c r="G16" s="107">
        <v>2.9196776894877242E-3</v>
      </c>
      <c r="H16" s="106">
        <v>93227326</v>
      </c>
      <c r="I16" s="107">
        <v>3.178300152553742E-3</v>
      </c>
    </row>
    <row r="17" spans="1:9" s="141" customFormat="1" ht="14.25">
      <c r="A17" s="104" t="s">
        <v>86</v>
      </c>
      <c r="B17" s="110">
        <v>5258</v>
      </c>
      <c r="C17" s="108">
        <v>0</v>
      </c>
      <c r="D17" s="106">
        <v>1011193776</v>
      </c>
      <c r="E17" s="107">
        <v>3.9783698133241847E-3</v>
      </c>
      <c r="F17" s="106">
        <v>31399126</v>
      </c>
      <c r="G17" s="107">
        <v>9.8335253819908908E-4</v>
      </c>
      <c r="H17" s="106">
        <v>31399126</v>
      </c>
      <c r="I17" s="107">
        <v>1.0704570348381993E-3</v>
      </c>
    </row>
    <row r="18" spans="1:9" s="141" customFormat="1" ht="14.25">
      <c r="A18" s="104" t="s">
        <v>87</v>
      </c>
      <c r="B18" s="110">
        <v>7729</v>
      </c>
      <c r="C18" s="140">
        <v>13945</v>
      </c>
      <c r="D18" s="106">
        <v>5051136369</v>
      </c>
      <c r="E18" s="107">
        <v>1.9872836374552141E-2</v>
      </c>
      <c r="F18" s="106">
        <v>214844067</v>
      </c>
      <c r="G18" s="107">
        <v>6.7284502951281237E-3</v>
      </c>
      <c r="H18" s="106">
        <v>214844067</v>
      </c>
      <c r="I18" s="107">
        <v>7.3244504612453047E-3</v>
      </c>
    </row>
    <row r="19" spans="1:9" s="141" customFormat="1" ht="15" customHeight="1">
      <c r="A19" s="109"/>
      <c r="B19" s="110"/>
      <c r="C19" s="140"/>
      <c r="D19" s="106"/>
      <c r="E19" s="111"/>
      <c r="F19" s="106"/>
      <c r="G19" s="111"/>
      <c r="H19" s="106"/>
      <c r="I19" s="111"/>
    </row>
    <row r="20" spans="1:9" s="136" customFormat="1" ht="15">
      <c r="A20" s="86" t="s">
        <v>60</v>
      </c>
      <c r="B20" s="139">
        <v>41023</v>
      </c>
      <c r="C20" s="139">
        <v>347382</v>
      </c>
      <c r="D20" s="101">
        <v>27727961408</v>
      </c>
      <c r="E20" s="103">
        <v>0.10909094504810835</v>
      </c>
      <c r="F20" s="101">
        <v>8891421491</v>
      </c>
      <c r="G20" s="103">
        <v>0.27846004030089172</v>
      </c>
      <c r="H20" s="101">
        <v>7769196473</v>
      </c>
      <c r="I20" s="103">
        <v>0.26486695902182045</v>
      </c>
    </row>
    <row r="21" spans="1:9" s="141" customFormat="1" ht="14.25">
      <c r="A21" s="104" t="s">
        <v>88</v>
      </c>
      <c r="B21" s="140">
        <v>2988</v>
      </c>
      <c r="C21" s="140">
        <v>152425</v>
      </c>
      <c r="D21" s="106">
        <v>10496739162</v>
      </c>
      <c r="E21" s="107">
        <v>4.1297633758812416E-2</v>
      </c>
      <c r="F21" s="106">
        <v>4186548340</v>
      </c>
      <c r="G21" s="107">
        <v>0.13111361559656731</v>
      </c>
      <c r="H21" s="106">
        <v>3559146662</v>
      </c>
      <c r="I21" s="107">
        <v>0.12133820483916638</v>
      </c>
    </row>
    <row r="22" spans="1:9" s="141" customFormat="1" ht="14.25">
      <c r="A22" s="104" t="s">
        <v>89</v>
      </c>
      <c r="B22" s="140">
        <v>954</v>
      </c>
      <c r="C22" s="140">
        <v>104976</v>
      </c>
      <c r="D22" s="106">
        <v>6996411398</v>
      </c>
      <c r="E22" s="107">
        <v>2.7526189903487361E-2</v>
      </c>
      <c r="F22" s="106">
        <v>2851329569</v>
      </c>
      <c r="G22" s="107">
        <v>8.9297459073168606E-2</v>
      </c>
      <c r="H22" s="106">
        <v>2429169124</v>
      </c>
      <c r="I22" s="107">
        <v>8.2815081464291271E-2</v>
      </c>
    </row>
    <row r="23" spans="1:9" s="141" customFormat="1" ht="14.25">
      <c r="A23" s="104" t="s">
        <v>85</v>
      </c>
      <c r="B23" s="140">
        <v>24192</v>
      </c>
      <c r="C23" s="140">
        <v>24192</v>
      </c>
      <c r="D23" s="106">
        <v>2353542632</v>
      </c>
      <c r="E23" s="107">
        <v>9.259612928551441E-3</v>
      </c>
      <c r="F23" s="106">
        <v>499061976</v>
      </c>
      <c r="G23" s="107">
        <v>1.5629538886472599E-2</v>
      </c>
      <c r="H23" s="106">
        <v>441979558</v>
      </c>
      <c r="I23" s="107">
        <v>1.5067939378815128E-2</v>
      </c>
    </row>
    <row r="24" spans="1:9" s="141" customFormat="1" ht="14.25">
      <c r="A24" s="104" t="s">
        <v>90</v>
      </c>
      <c r="B24" s="140">
        <v>31</v>
      </c>
      <c r="C24" s="140">
        <v>1207</v>
      </c>
      <c r="D24" s="106">
        <v>183943187</v>
      </c>
      <c r="E24" s="107">
        <v>7.2369316336401738E-4</v>
      </c>
      <c r="F24" s="106">
        <v>10399074</v>
      </c>
      <c r="G24" s="107">
        <v>3.2567644758074325E-4</v>
      </c>
      <c r="H24" s="106">
        <v>9436967</v>
      </c>
      <c r="I24" s="107">
        <v>3.2172448725757328E-4</v>
      </c>
    </row>
    <row r="25" spans="1:9" s="141" customFormat="1" ht="14.25">
      <c r="A25" s="112" t="s">
        <v>91</v>
      </c>
      <c r="B25" s="140">
        <v>38</v>
      </c>
      <c r="C25" s="140">
        <v>4438</v>
      </c>
      <c r="D25" s="106">
        <v>318903000</v>
      </c>
      <c r="E25" s="107">
        <v>1.2546695783642982E-3</v>
      </c>
      <c r="F25" s="106">
        <v>115844284</v>
      </c>
      <c r="G25" s="107">
        <v>3.6279917698109213E-3</v>
      </c>
      <c r="H25" s="106">
        <v>101225914</v>
      </c>
      <c r="I25" s="107">
        <v>3.4509875131309886E-3</v>
      </c>
    </row>
    <row r="26" spans="1:9" s="141" customFormat="1" ht="14.25">
      <c r="A26" s="104" t="s">
        <v>92</v>
      </c>
      <c r="B26" s="140">
        <v>11829</v>
      </c>
      <c r="C26" s="140">
        <v>59017</v>
      </c>
      <c r="D26" s="106">
        <v>7184495379</v>
      </c>
      <c r="E26" s="107">
        <v>2.826617431610922E-2</v>
      </c>
      <c r="F26" s="106">
        <v>1206027356</v>
      </c>
      <c r="G26" s="107">
        <v>3.7770161553545671E-2</v>
      </c>
      <c r="H26" s="106">
        <v>1206027356</v>
      </c>
      <c r="I26" s="107">
        <v>4.1115809001738245E-2</v>
      </c>
    </row>
    <row r="27" spans="1:9" s="141" customFormat="1" ht="14.25">
      <c r="A27" s="104" t="s">
        <v>93</v>
      </c>
      <c r="B27" s="140">
        <v>35</v>
      </c>
      <c r="C27" s="110">
        <v>271</v>
      </c>
      <c r="D27" s="106">
        <v>70809000</v>
      </c>
      <c r="E27" s="107">
        <v>2.785859592866721E-4</v>
      </c>
      <c r="F27" s="106">
        <v>7534590</v>
      </c>
      <c r="G27" s="107">
        <v>2.35967020253668E-4</v>
      </c>
      <c r="H27" s="106">
        <v>7534590</v>
      </c>
      <c r="I27" s="107">
        <v>2.5686876985434395E-4</v>
      </c>
    </row>
    <row r="28" spans="1:9" s="141" customFormat="1" ht="14.25">
      <c r="A28" s="104" t="s">
        <v>94</v>
      </c>
      <c r="B28" s="140">
        <v>955</v>
      </c>
      <c r="C28" s="140">
        <v>850</v>
      </c>
      <c r="D28" s="106">
        <v>121521650</v>
      </c>
      <c r="E28" s="107">
        <v>4.7810624976131868E-4</v>
      </c>
      <c r="F28" s="106">
        <v>14630006</v>
      </c>
      <c r="G28" s="107">
        <v>4.5818006316379319E-4</v>
      </c>
      <c r="H28" s="106">
        <v>14630006</v>
      </c>
      <c r="I28" s="107">
        <v>4.9876524723729777E-4</v>
      </c>
    </row>
    <row r="29" spans="1:9" s="141" customFormat="1" ht="14.25">
      <c r="A29" s="104" t="s">
        <v>95</v>
      </c>
      <c r="B29" s="110">
        <v>1</v>
      </c>
      <c r="C29" s="110">
        <v>6</v>
      </c>
      <c r="D29" s="106">
        <v>1596000</v>
      </c>
      <c r="E29" s="107">
        <v>6.2791903715845254E-6</v>
      </c>
      <c r="F29" s="106">
        <v>46296</v>
      </c>
      <c r="G29" s="107">
        <v>1.449890328427136E-6</v>
      </c>
      <c r="H29" s="106">
        <v>46296</v>
      </c>
      <c r="I29" s="107">
        <v>1.5783203291986304E-6</v>
      </c>
    </row>
    <row r="30" spans="1:9" s="141" customFormat="1" ht="15" customHeight="1">
      <c r="A30" s="104"/>
      <c r="B30" s="110"/>
      <c r="C30" s="143"/>
      <c r="D30" s="106"/>
      <c r="E30" s="107"/>
      <c r="F30" s="106"/>
      <c r="G30" s="107"/>
      <c r="H30" s="106"/>
      <c r="I30" s="107"/>
    </row>
    <row r="31" spans="1:9" s="136" customFormat="1" ht="15">
      <c r="A31" s="86" t="s">
        <v>61</v>
      </c>
      <c r="B31" s="139">
        <v>100</v>
      </c>
      <c r="C31" s="113">
        <v>0</v>
      </c>
      <c r="D31" s="101">
        <v>6806622028</v>
      </c>
      <c r="E31" s="103">
        <v>2.6779495928090681E-2</v>
      </c>
      <c r="F31" s="101">
        <v>3029981193</v>
      </c>
      <c r="G31" s="103">
        <v>9.4892440535830638E-2</v>
      </c>
      <c r="H31" s="101">
        <v>3029981193</v>
      </c>
      <c r="I31" s="103">
        <v>0.10329792884917527</v>
      </c>
    </row>
    <row r="32" spans="1:9" s="141" customFormat="1" ht="14.25">
      <c r="A32" s="104" t="s">
        <v>96</v>
      </c>
      <c r="B32" s="110">
        <v>13</v>
      </c>
      <c r="C32" s="108">
        <v>0</v>
      </c>
      <c r="D32" s="106">
        <v>5713148999</v>
      </c>
      <c r="E32" s="107">
        <v>2.2477412397210881E-2</v>
      </c>
      <c r="F32" s="106">
        <v>2570917050</v>
      </c>
      <c r="G32" s="107">
        <v>8.0515547044743035E-2</v>
      </c>
      <c r="H32" s="106">
        <v>2570917050</v>
      </c>
      <c r="I32" s="107">
        <v>8.764754286975919E-2</v>
      </c>
    </row>
    <row r="33" spans="1:9" s="141" customFormat="1" ht="14.25">
      <c r="A33" s="104" t="s">
        <v>97</v>
      </c>
      <c r="B33" s="110">
        <v>86</v>
      </c>
      <c r="C33" s="108">
        <v>0</v>
      </c>
      <c r="D33" s="106">
        <v>1093207029</v>
      </c>
      <c r="E33" s="107">
        <v>4.3010369991512056E-3</v>
      </c>
      <c r="F33" s="106">
        <v>458944443</v>
      </c>
      <c r="G33" s="107">
        <v>1.4373144746653684E-2</v>
      </c>
      <c r="H33" s="106">
        <v>458944443</v>
      </c>
      <c r="I33" s="107">
        <v>1.5646305174521386E-2</v>
      </c>
    </row>
    <row r="34" spans="1:9" s="141" customFormat="1" ht="14.25">
      <c r="A34" s="112" t="s">
        <v>87</v>
      </c>
      <c r="B34" s="110">
        <v>1</v>
      </c>
      <c r="C34" s="108">
        <v>0</v>
      </c>
      <c r="D34" s="106">
        <v>266000</v>
      </c>
      <c r="E34" s="107">
        <v>1.0465317285974208E-6</v>
      </c>
      <c r="F34" s="106">
        <v>119700</v>
      </c>
      <c r="G34" s="107">
        <v>3.7487444339193055E-6</v>
      </c>
      <c r="H34" s="106">
        <v>119700</v>
      </c>
      <c r="I34" s="107">
        <v>4.080804894700969E-6</v>
      </c>
    </row>
    <row r="35" spans="1:9" s="141" customFormat="1" ht="15" customHeight="1">
      <c r="A35" s="109"/>
      <c r="B35" s="110"/>
      <c r="C35" s="114"/>
      <c r="D35" s="106"/>
      <c r="E35" s="111"/>
      <c r="F35" s="106"/>
      <c r="G35" s="111"/>
      <c r="H35" s="106"/>
      <c r="I35" s="111"/>
    </row>
    <row r="36" spans="1:9" s="136" customFormat="1" ht="15">
      <c r="A36" s="86" t="s">
        <v>62</v>
      </c>
      <c r="B36" s="139">
        <v>27743</v>
      </c>
      <c r="C36" s="115">
        <v>191479059</v>
      </c>
      <c r="D36" s="116">
        <v>31749450330</v>
      </c>
      <c r="E36" s="103">
        <v>0.1249128087814769</v>
      </c>
      <c r="F36" s="116">
        <v>12247834258</v>
      </c>
      <c r="G36" s="103">
        <v>0.38357560987672257</v>
      </c>
      <c r="H36" s="116">
        <v>10771816962</v>
      </c>
      <c r="I36" s="103">
        <v>0.36723210846576881</v>
      </c>
    </row>
    <row r="37" spans="1:9" s="141" customFormat="1" ht="14.25">
      <c r="A37" s="117" t="s">
        <v>98</v>
      </c>
      <c r="B37" s="140">
        <v>1509</v>
      </c>
      <c r="C37" s="118">
        <v>23847512</v>
      </c>
      <c r="D37" s="106">
        <v>3534249370</v>
      </c>
      <c r="E37" s="107">
        <v>1.3904902640903931E-2</v>
      </c>
      <c r="F37" s="106">
        <v>1321255810</v>
      </c>
      <c r="G37" s="107">
        <v>4.1378866863166615E-2</v>
      </c>
      <c r="H37" s="106">
        <v>1138695692</v>
      </c>
      <c r="I37" s="107">
        <v>3.882034213440691E-2</v>
      </c>
    </row>
    <row r="38" spans="1:9" s="141" customFormat="1" ht="14.25">
      <c r="A38" s="109" t="s">
        <v>99</v>
      </c>
      <c r="B38" s="140">
        <v>1500</v>
      </c>
      <c r="C38" s="118">
        <v>3153105</v>
      </c>
      <c r="D38" s="106">
        <v>686736162</v>
      </c>
      <c r="E38" s="107">
        <v>2.7018465515346556E-3</v>
      </c>
      <c r="F38" s="106">
        <v>122770646</v>
      </c>
      <c r="G38" s="107">
        <v>3.8449104080298868E-3</v>
      </c>
      <c r="H38" s="106">
        <v>109585630</v>
      </c>
      <c r="I38" s="107">
        <v>3.7359864268411806E-3</v>
      </c>
    </row>
    <row r="39" spans="1:9" s="141" customFormat="1" ht="14.25">
      <c r="A39" s="109" t="s">
        <v>100</v>
      </c>
      <c r="B39" s="140">
        <v>11</v>
      </c>
      <c r="C39" s="118">
        <v>704546</v>
      </c>
      <c r="D39" s="106">
        <v>39024000</v>
      </c>
      <c r="E39" s="107">
        <v>1.5353328637889379E-4</v>
      </c>
      <c r="F39" s="106">
        <v>14534775</v>
      </c>
      <c r="G39" s="107">
        <v>4.5519763474953615E-4</v>
      </c>
      <c r="H39" s="106">
        <v>11886669</v>
      </c>
      <c r="I39" s="107">
        <v>4.052395742430265E-4</v>
      </c>
    </row>
    <row r="40" spans="1:9" s="141" customFormat="1" ht="14.25">
      <c r="A40" s="119" t="s">
        <v>101</v>
      </c>
      <c r="B40" s="140">
        <v>6298</v>
      </c>
      <c r="C40" s="118">
        <v>50483860</v>
      </c>
      <c r="D40" s="106">
        <v>10654241758</v>
      </c>
      <c r="E40" s="107">
        <v>4.1917300916896855E-2</v>
      </c>
      <c r="F40" s="106">
        <v>4465073257</v>
      </c>
      <c r="G40" s="107">
        <v>0.1398364120235647</v>
      </c>
      <c r="H40" s="106">
        <v>3851631158</v>
      </c>
      <c r="I40" s="107">
        <v>0.13130956793775406</v>
      </c>
    </row>
    <row r="41" spans="1:9" s="141" customFormat="1" ht="14.25">
      <c r="A41" s="109" t="s">
        <v>102</v>
      </c>
      <c r="B41" s="140">
        <v>593</v>
      </c>
      <c r="C41" s="118">
        <v>4939254</v>
      </c>
      <c r="D41" s="106">
        <v>911329289</v>
      </c>
      <c r="E41" s="107">
        <v>3.5854699854835658E-3</v>
      </c>
      <c r="F41" s="106">
        <v>145458150</v>
      </c>
      <c r="G41" s="107">
        <v>4.5554338360960685E-3</v>
      </c>
      <c r="H41" s="106">
        <v>130590514</v>
      </c>
      <c r="I41" s="107">
        <v>4.4520836151438212E-3</v>
      </c>
    </row>
    <row r="42" spans="1:9" s="141" customFormat="1" ht="14.25">
      <c r="A42" s="109" t="s">
        <v>103</v>
      </c>
      <c r="B42" s="140">
        <v>1452</v>
      </c>
      <c r="C42" s="118">
        <v>26430061</v>
      </c>
      <c r="D42" s="106">
        <v>2034643182</v>
      </c>
      <c r="E42" s="107">
        <v>8.0049573170579581E-3</v>
      </c>
      <c r="F42" s="106">
        <v>857848855</v>
      </c>
      <c r="G42" s="107">
        <v>2.6865965917504592E-2</v>
      </c>
      <c r="H42" s="106">
        <v>740809690</v>
      </c>
      <c r="I42" s="107">
        <v>2.5255637502037655E-2</v>
      </c>
    </row>
    <row r="43" spans="1:9" s="141" customFormat="1" ht="14.25">
      <c r="A43" s="109" t="s">
        <v>104</v>
      </c>
      <c r="B43" s="140">
        <v>2070</v>
      </c>
      <c r="C43" s="118">
        <v>36070210</v>
      </c>
      <c r="D43" s="106">
        <v>3125265811</v>
      </c>
      <c r="E43" s="107">
        <v>1.229582643425658E-2</v>
      </c>
      <c r="F43" s="106">
        <v>1330143340</v>
      </c>
      <c r="G43" s="107">
        <v>4.1657205030407971E-2</v>
      </c>
      <c r="H43" s="106">
        <v>1166672148</v>
      </c>
      <c r="I43" s="107">
        <v>3.9774113718209637E-2</v>
      </c>
    </row>
    <row r="44" spans="1:9" s="141" customFormat="1" ht="14.25">
      <c r="A44" s="109" t="s">
        <v>105</v>
      </c>
      <c r="B44" s="140">
        <v>8</v>
      </c>
      <c r="C44" s="118">
        <v>588834</v>
      </c>
      <c r="D44" s="106">
        <v>53950000</v>
      </c>
      <c r="E44" s="107">
        <v>2.1225709307455209E-4</v>
      </c>
      <c r="F44" s="106">
        <v>18247725</v>
      </c>
      <c r="G44" s="107">
        <v>5.7147917732197292E-4</v>
      </c>
      <c r="H44" s="106">
        <v>17102004</v>
      </c>
      <c r="I44" s="107">
        <v>5.8304044805677154E-4</v>
      </c>
    </row>
    <row r="45" spans="1:9" s="141" customFormat="1" ht="14.25">
      <c r="A45" s="109" t="s">
        <v>106</v>
      </c>
      <c r="B45" s="140">
        <v>62</v>
      </c>
      <c r="C45" s="118">
        <v>4898279</v>
      </c>
      <c r="D45" s="106">
        <v>486032000</v>
      </c>
      <c r="E45" s="107">
        <v>1.9122101846378258E-3</v>
      </c>
      <c r="F45" s="106">
        <v>162422524</v>
      </c>
      <c r="G45" s="107">
        <v>5.0867212430085618E-3</v>
      </c>
      <c r="H45" s="106">
        <v>140537654</v>
      </c>
      <c r="I45" s="107">
        <v>4.7912008883290828E-3</v>
      </c>
    </row>
    <row r="46" spans="1:9" s="141" customFormat="1" ht="14.25">
      <c r="A46" s="109" t="s">
        <v>107</v>
      </c>
      <c r="B46" s="140">
        <v>353</v>
      </c>
      <c r="C46" s="118">
        <v>188019</v>
      </c>
      <c r="D46" s="106">
        <v>11597820</v>
      </c>
      <c r="E46" s="107">
        <v>4.5629648919405034E-5</v>
      </c>
      <c r="F46" s="106">
        <v>4607262</v>
      </c>
      <c r="G46" s="107">
        <v>1.4428945512203782E-4</v>
      </c>
      <c r="H46" s="106">
        <v>4172746</v>
      </c>
      <c r="I46" s="107">
        <v>1.4225699499702499E-4</v>
      </c>
    </row>
    <row r="47" spans="1:9" s="141" customFormat="1" ht="14.25">
      <c r="A47" s="109" t="s">
        <v>108</v>
      </c>
      <c r="B47" s="140">
        <v>3180</v>
      </c>
      <c r="C47" s="118">
        <v>9464030</v>
      </c>
      <c r="D47" s="106">
        <v>1765657778</v>
      </c>
      <c r="E47" s="107">
        <v>6.9466800245181247E-3</v>
      </c>
      <c r="F47" s="106">
        <v>777446041</v>
      </c>
      <c r="G47" s="107">
        <v>2.4347924134263579E-2</v>
      </c>
      <c r="H47" s="106">
        <v>682014640</v>
      </c>
      <c r="I47" s="107">
        <v>2.3251200343940848E-2</v>
      </c>
    </row>
    <row r="48" spans="1:9" s="141" customFormat="1" ht="14.25">
      <c r="A48" s="109" t="s">
        <v>109</v>
      </c>
      <c r="B48" s="140">
        <v>6257</v>
      </c>
      <c r="C48" s="118">
        <v>3705988</v>
      </c>
      <c r="D48" s="106">
        <v>283702983</v>
      </c>
      <c r="E48" s="107">
        <v>1.1161811022828373E-3</v>
      </c>
      <c r="F48" s="106">
        <v>66460568</v>
      </c>
      <c r="G48" s="107">
        <v>2.0814008718890186E-3</v>
      </c>
      <c r="H48" s="106">
        <v>57983309</v>
      </c>
      <c r="I48" s="107">
        <v>1.9767633348217106E-3</v>
      </c>
    </row>
    <row r="49" spans="1:9" s="141" customFormat="1" ht="14.25">
      <c r="A49" s="109" t="s">
        <v>110</v>
      </c>
      <c r="B49" s="140">
        <v>285</v>
      </c>
      <c r="C49" s="118">
        <v>11002958</v>
      </c>
      <c r="D49" s="106">
        <v>1629584462</v>
      </c>
      <c r="E49" s="107">
        <v>6.4113227214750304E-3</v>
      </c>
      <c r="F49" s="106">
        <v>615176685</v>
      </c>
      <c r="G49" s="107">
        <v>1.926599978087452E-2</v>
      </c>
      <c r="H49" s="106">
        <v>549316456</v>
      </c>
      <c r="I49" s="107">
        <v>1.8727262175309855E-2</v>
      </c>
    </row>
    <row r="50" spans="1:9" s="141" customFormat="1" ht="14.25">
      <c r="A50" s="109" t="s">
        <v>111</v>
      </c>
      <c r="B50" s="140">
        <v>17</v>
      </c>
      <c r="C50" s="118">
        <v>709610</v>
      </c>
      <c r="D50" s="106">
        <v>98734000</v>
      </c>
      <c r="E50" s="107">
        <v>3.8845211914036745E-4</v>
      </c>
      <c r="F50" s="106">
        <v>39009796</v>
      </c>
      <c r="G50" s="107">
        <v>1.2217022190754185E-3</v>
      </c>
      <c r="H50" s="106">
        <v>34372893</v>
      </c>
      <c r="I50" s="107">
        <v>1.1718385129442998E-3</v>
      </c>
    </row>
    <row r="51" spans="1:9" s="141" customFormat="1" ht="14.25">
      <c r="A51" s="109" t="s">
        <v>112</v>
      </c>
      <c r="B51" s="140">
        <v>196</v>
      </c>
      <c r="C51" s="118">
        <v>3571879</v>
      </c>
      <c r="D51" s="106">
        <v>629250960</v>
      </c>
      <c r="E51" s="107">
        <v>2.4756808078585961E-3</v>
      </c>
      <c r="F51" s="106">
        <v>266743026</v>
      </c>
      <c r="G51" s="107">
        <v>8.3538131495763789E-3</v>
      </c>
      <c r="H51" s="106">
        <v>246335558</v>
      </c>
      <c r="I51" s="107">
        <v>8.3980563978721338E-3</v>
      </c>
    </row>
    <row r="52" spans="1:9" s="141" customFormat="1" ht="14.25">
      <c r="A52" s="109" t="s">
        <v>113</v>
      </c>
      <c r="B52" s="140">
        <v>83</v>
      </c>
      <c r="C52" s="118">
        <v>251590</v>
      </c>
      <c r="D52" s="106">
        <v>49368133</v>
      </c>
      <c r="E52" s="107">
        <v>1.9423051716585481E-4</v>
      </c>
      <c r="F52" s="106">
        <v>11645229</v>
      </c>
      <c r="G52" s="107">
        <v>3.6470331992870242E-4</v>
      </c>
      <c r="H52" s="106">
        <v>10898566</v>
      </c>
      <c r="I52" s="107">
        <v>3.7155322872198466E-4</v>
      </c>
    </row>
    <row r="53" spans="1:9" s="141" customFormat="1" ht="14.25">
      <c r="A53" s="109" t="s">
        <v>114</v>
      </c>
      <c r="B53" s="140">
        <v>162</v>
      </c>
      <c r="C53" s="118">
        <v>7501249</v>
      </c>
      <c r="D53" s="106">
        <v>1569642339</v>
      </c>
      <c r="E53" s="107">
        <v>6.1754906402758224E-3</v>
      </c>
      <c r="F53" s="106">
        <v>510239197</v>
      </c>
      <c r="G53" s="107">
        <v>1.5979585210703477E-2</v>
      </c>
      <c r="H53" s="106">
        <v>445767410</v>
      </c>
      <c r="I53" s="107">
        <v>1.5197074591697357E-2</v>
      </c>
    </row>
    <row r="54" spans="1:9" s="141" customFormat="1" ht="14.25">
      <c r="A54" s="109" t="s">
        <v>115</v>
      </c>
      <c r="B54" s="140">
        <v>7</v>
      </c>
      <c r="C54" s="118">
        <v>224780</v>
      </c>
      <c r="D54" s="106">
        <v>52924001</v>
      </c>
      <c r="E54" s="107">
        <v>2.0822047462714898E-4</v>
      </c>
      <c r="F54" s="106">
        <v>23286601</v>
      </c>
      <c r="G54" s="107">
        <v>7.2928584698120076E-4</v>
      </c>
      <c r="H54" s="106">
        <v>21413856</v>
      </c>
      <c r="I54" s="107">
        <v>7.3003983608372356E-4</v>
      </c>
    </row>
    <row r="55" spans="1:9" s="141" customFormat="1" ht="14.25">
      <c r="A55" s="109" t="s">
        <v>116</v>
      </c>
      <c r="B55" s="140">
        <v>109</v>
      </c>
      <c r="C55" s="118">
        <v>30143</v>
      </c>
      <c r="D55" s="106">
        <v>2463417</v>
      </c>
      <c r="E55" s="107">
        <v>9.6918949295724537E-6</v>
      </c>
      <c r="F55" s="106">
        <v>181212</v>
      </c>
      <c r="G55" s="107">
        <v>5.6751668868787406E-6</v>
      </c>
      <c r="H55" s="106">
        <v>164755</v>
      </c>
      <c r="I55" s="107">
        <v>5.6168171297114297E-6</v>
      </c>
    </row>
    <row r="56" spans="1:9" s="141" customFormat="1" ht="14.25">
      <c r="A56" s="109" t="s">
        <v>117</v>
      </c>
      <c r="B56" s="140">
        <v>16</v>
      </c>
      <c r="C56" s="118">
        <v>44082</v>
      </c>
      <c r="D56" s="106">
        <v>5502381</v>
      </c>
      <c r="E56" s="107">
        <v>2.1648181576434606E-5</v>
      </c>
      <c r="F56" s="106">
        <v>1801706</v>
      </c>
      <c r="G56" s="107">
        <v>5.6425524971253273E-5</v>
      </c>
      <c r="H56" s="106">
        <v>1659985</v>
      </c>
      <c r="I56" s="107">
        <v>5.6592104537428474E-5</v>
      </c>
    </row>
    <row r="57" spans="1:9" s="141" customFormat="1" ht="14.25">
      <c r="A57" s="109" t="s">
        <v>118</v>
      </c>
      <c r="B57" s="140">
        <v>1688</v>
      </c>
      <c r="C57" s="108">
        <v>0</v>
      </c>
      <c r="D57" s="106">
        <v>3016550041</v>
      </c>
      <c r="E57" s="107">
        <v>1.1868102739881018E-2</v>
      </c>
      <c r="F57" s="106">
        <v>1046905624</v>
      </c>
      <c r="G57" s="107">
        <v>3.2786813958302567E-2</v>
      </c>
      <c r="H57" s="106">
        <v>1034197624</v>
      </c>
      <c r="I57" s="107">
        <v>3.5257800552274954E-2</v>
      </c>
    </row>
    <row r="58" spans="1:9" s="141" customFormat="1" ht="14.25">
      <c r="A58" s="109" t="s">
        <v>86</v>
      </c>
      <c r="B58" s="140">
        <v>1060</v>
      </c>
      <c r="C58" s="108">
        <v>0</v>
      </c>
      <c r="D58" s="106">
        <v>531424326</v>
      </c>
      <c r="E58" s="107">
        <v>2.0907985658176666E-3</v>
      </c>
      <c r="F58" s="106">
        <v>237665933</v>
      </c>
      <c r="G58" s="107">
        <v>7.4431816496740907E-3</v>
      </c>
      <c r="H58" s="106">
        <v>187492910</v>
      </c>
      <c r="I58" s="107">
        <v>6.3919965317437615E-3</v>
      </c>
    </row>
    <row r="59" spans="1:9" s="141" customFormat="1" ht="14.25">
      <c r="A59" s="121" t="s">
        <v>87</v>
      </c>
      <c r="B59" s="144">
        <v>827</v>
      </c>
      <c r="C59" s="145">
        <v>3669070</v>
      </c>
      <c r="D59" s="124">
        <v>577576117</v>
      </c>
      <c r="E59" s="125">
        <v>2.272374932784196E-3</v>
      </c>
      <c r="F59" s="124">
        <v>208910296</v>
      </c>
      <c r="G59" s="125">
        <v>6.5426174546235139E-3</v>
      </c>
      <c r="H59" s="124">
        <v>188515095</v>
      </c>
      <c r="I59" s="125">
        <v>6.4268447986718311E-3</v>
      </c>
    </row>
    <row r="60" spans="1:9" s="126" customFormat="1">
      <c r="A60" s="151"/>
      <c r="B60" s="147"/>
      <c r="C60" s="152"/>
      <c r="D60" s="153"/>
      <c r="E60" s="153"/>
      <c r="F60" s="154"/>
      <c r="G60" s="155"/>
      <c r="H60" s="154"/>
      <c r="I60" s="154"/>
    </row>
    <row r="61" spans="1:9" s="126" customFormat="1">
      <c r="A61" s="151"/>
      <c r="B61" s="156"/>
      <c r="C61" s="152"/>
      <c r="D61" s="153"/>
      <c r="E61" s="153"/>
      <c r="F61" s="154"/>
      <c r="G61" s="155"/>
      <c r="H61" s="154"/>
      <c r="I61" s="154"/>
    </row>
    <row r="62" spans="1:9" s="126" customFormat="1">
      <c r="A62" s="151"/>
      <c r="B62" s="152"/>
      <c r="C62" s="152"/>
      <c r="D62" s="153"/>
      <c r="E62" s="153"/>
      <c r="F62" s="154"/>
      <c r="G62" s="155"/>
      <c r="H62" s="154"/>
      <c r="I62" s="154"/>
    </row>
    <row r="63" spans="1:9" s="126" customFormat="1" ht="11.45" customHeight="1">
      <c r="A63" s="167"/>
      <c r="B63" s="127"/>
      <c r="C63" s="127"/>
      <c r="D63" s="128"/>
      <c r="E63" s="128"/>
      <c r="F63" s="129"/>
      <c r="G63" s="130"/>
      <c r="H63" s="129"/>
      <c r="I63" s="129"/>
    </row>
  </sheetData>
  <mergeCells count="6">
    <mergeCell ref="H8:I8"/>
    <mergeCell ref="A1:I1"/>
    <mergeCell ref="A2:I2"/>
    <mergeCell ref="A3:I3"/>
    <mergeCell ref="A5:I5"/>
    <mergeCell ref="F7:I7"/>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64"/>
  <sheetViews>
    <sheetView showGridLines="0" workbookViewId="0">
      <selection sqref="A1:I1"/>
    </sheetView>
  </sheetViews>
  <sheetFormatPr defaultColWidth="9" defaultRowHeight="12.75"/>
  <cols>
    <col min="1" max="1" width="35.140625" style="131" customWidth="1"/>
    <col min="2" max="2" width="9.5703125" style="132" customWidth="1"/>
    <col min="3" max="3" width="12.42578125" style="132" bestFit="1" customWidth="1"/>
    <col min="4" max="4" width="10" style="128" bestFit="1" customWidth="1"/>
    <col min="5" max="5" width="9.28515625" style="128" bestFit="1" customWidth="1"/>
    <col min="6" max="6" width="8.85546875" style="129" bestFit="1" customWidth="1"/>
    <col min="7" max="7" width="9.28515625" style="130" bestFit="1" customWidth="1"/>
    <col min="8" max="8" width="8.85546875" style="129" bestFit="1" customWidth="1"/>
    <col min="9" max="9" width="9.5703125" style="129" customWidth="1"/>
    <col min="10" max="10" width="4" style="162" customWidth="1"/>
    <col min="11" max="16384" width="9" style="162"/>
  </cols>
  <sheetData>
    <row r="1" spans="1:9" s="126" customFormat="1" ht="15.75">
      <c r="A1" s="999" t="s">
        <v>67</v>
      </c>
      <c r="B1" s="999"/>
      <c r="C1" s="999"/>
      <c r="D1" s="999"/>
      <c r="E1" s="999"/>
      <c r="F1" s="999"/>
      <c r="G1" s="999"/>
      <c r="H1" s="999"/>
      <c r="I1" s="999"/>
    </row>
    <row r="2" spans="1:9" s="126" customFormat="1" ht="15.75">
      <c r="A2" s="999" t="s">
        <v>68</v>
      </c>
      <c r="B2" s="999"/>
      <c r="C2" s="999"/>
      <c r="D2" s="999"/>
      <c r="E2" s="999"/>
      <c r="F2" s="999"/>
      <c r="G2" s="999"/>
      <c r="H2" s="999"/>
      <c r="I2" s="999"/>
    </row>
    <row r="3" spans="1:9" s="126" customFormat="1" ht="15.75">
      <c r="A3" s="999" t="s">
        <v>69</v>
      </c>
      <c r="B3" s="999"/>
      <c r="C3" s="999"/>
      <c r="D3" s="999"/>
      <c r="E3" s="999"/>
      <c r="F3" s="999"/>
      <c r="G3" s="999"/>
      <c r="H3" s="999"/>
      <c r="I3" s="999"/>
    </row>
    <row r="4" spans="1:9" s="126" customFormat="1" ht="15">
      <c r="A4" s="133"/>
      <c r="B4" s="134"/>
      <c r="C4" s="134"/>
      <c r="D4" s="134"/>
      <c r="E4" s="134"/>
      <c r="F4" s="134"/>
      <c r="G4" s="134"/>
      <c r="H4" s="134"/>
      <c r="I4" s="134"/>
    </row>
    <row r="5" spans="1:9" s="168" customFormat="1" ht="14.25" customHeight="1">
      <c r="A5" s="1000" t="s">
        <v>124</v>
      </c>
      <c r="B5" s="1000"/>
      <c r="C5" s="1000"/>
      <c r="D5" s="1000"/>
      <c r="E5" s="1000"/>
      <c r="F5" s="1000"/>
      <c r="G5" s="1000"/>
      <c r="H5" s="1000"/>
      <c r="I5" s="1000"/>
    </row>
    <row r="6" spans="1:9" s="126" customFormat="1" ht="6.95" customHeight="1">
      <c r="A6" s="72"/>
      <c r="B6" s="72"/>
      <c r="C6" s="72"/>
      <c r="D6" s="73"/>
      <c r="E6" s="73"/>
      <c r="F6" s="73"/>
      <c r="G6" s="73"/>
      <c r="H6" s="73"/>
      <c r="I6" s="73"/>
    </row>
    <row r="7" spans="1:9" s="126" customFormat="1" ht="15">
      <c r="A7" s="74"/>
      <c r="B7" s="75"/>
      <c r="C7" s="76" t="s">
        <v>70</v>
      </c>
      <c r="D7" s="77" t="s">
        <v>40</v>
      </c>
      <c r="E7" s="78"/>
      <c r="F7" s="1001" t="s">
        <v>71</v>
      </c>
      <c r="G7" s="1002"/>
      <c r="H7" s="1002"/>
      <c r="I7" s="1003"/>
    </row>
    <row r="8" spans="1:9" s="126" customFormat="1" ht="15">
      <c r="A8" s="79" t="s">
        <v>72</v>
      </c>
      <c r="B8" s="80" t="s">
        <v>73</v>
      </c>
      <c r="C8" s="81" t="s">
        <v>74</v>
      </c>
      <c r="D8" s="82"/>
      <c r="E8" s="83" t="s">
        <v>75</v>
      </c>
      <c r="F8" s="84" t="s">
        <v>76</v>
      </c>
      <c r="G8" s="85"/>
      <c r="H8" s="997" t="s">
        <v>77</v>
      </c>
      <c r="I8" s="998"/>
    </row>
    <row r="9" spans="1:9" s="126" customFormat="1" ht="15" customHeight="1">
      <c r="A9" s="169"/>
      <c r="B9" s="170"/>
      <c r="C9" s="171" t="s">
        <v>78</v>
      </c>
      <c r="D9" s="172" t="s">
        <v>79</v>
      </c>
      <c r="E9" s="173" t="s">
        <v>80</v>
      </c>
      <c r="F9" s="174" t="s">
        <v>79</v>
      </c>
      <c r="G9" s="175" t="s">
        <v>80</v>
      </c>
      <c r="H9" s="174" t="s">
        <v>79</v>
      </c>
      <c r="I9" s="175" t="s">
        <v>80</v>
      </c>
    </row>
    <row r="10" spans="1:9" s="136" customFormat="1" ht="15">
      <c r="A10" s="135" t="s">
        <v>120</v>
      </c>
      <c r="B10" s="94">
        <v>129672</v>
      </c>
      <c r="C10" s="95"/>
      <c r="D10" s="96">
        <v>63713467267</v>
      </c>
      <c r="E10" s="97">
        <v>0.99999999999999989</v>
      </c>
      <c r="F10" s="96">
        <v>5953300410</v>
      </c>
      <c r="G10" s="97">
        <v>1</v>
      </c>
      <c r="H10" s="96">
        <v>5669265215</v>
      </c>
      <c r="I10" s="97">
        <v>1</v>
      </c>
    </row>
    <row r="11" spans="1:9" s="136" customFormat="1" ht="15">
      <c r="A11" s="137"/>
      <c r="B11" s="99"/>
      <c r="C11" s="138"/>
      <c r="D11" s="101"/>
      <c r="E11" s="102"/>
      <c r="F11" s="101"/>
      <c r="G11" s="102"/>
      <c r="H11" s="101"/>
      <c r="I11" s="102"/>
    </row>
    <row r="12" spans="1:9" s="136" customFormat="1" ht="15">
      <c r="A12" s="86" t="s">
        <v>59</v>
      </c>
      <c r="B12" s="139">
        <v>119890</v>
      </c>
      <c r="C12" s="139">
        <v>146891</v>
      </c>
      <c r="D12" s="101">
        <v>55251298937</v>
      </c>
      <c r="E12" s="103">
        <v>0.86718399275716496</v>
      </c>
      <c r="F12" s="101">
        <v>2696695626</v>
      </c>
      <c r="G12" s="103">
        <v>0.45297489464335627</v>
      </c>
      <c r="H12" s="101">
        <v>2696695626</v>
      </c>
      <c r="I12" s="103">
        <v>0.4756693369830291</v>
      </c>
    </row>
    <row r="13" spans="1:9" s="141" customFormat="1" ht="14.25">
      <c r="A13" s="104" t="s">
        <v>82</v>
      </c>
      <c r="B13" s="110">
        <v>76653</v>
      </c>
      <c r="C13" s="140">
        <v>76653</v>
      </c>
      <c r="D13" s="106">
        <v>35446141593</v>
      </c>
      <c r="E13" s="107">
        <v>0.55633672304252557</v>
      </c>
      <c r="F13" s="106">
        <v>1739430427</v>
      </c>
      <c r="G13" s="107">
        <v>0.29217917914543806</v>
      </c>
      <c r="H13" s="106">
        <v>1739430427</v>
      </c>
      <c r="I13" s="107">
        <v>0.30681761410592256</v>
      </c>
    </row>
    <row r="14" spans="1:9" s="141" customFormat="1" ht="14.25">
      <c r="A14" s="104" t="s">
        <v>83</v>
      </c>
      <c r="B14" s="110">
        <v>29316</v>
      </c>
      <c r="C14" s="140">
        <v>58632</v>
      </c>
      <c r="D14" s="106">
        <v>15814252553</v>
      </c>
      <c r="E14" s="107">
        <v>0.24820894594745899</v>
      </c>
      <c r="F14" s="106">
        <v>796654170</v>
      </c>
      <c r="G14" s="107">
        <v>0.133817229962363</v>
      </c>
      <c r="H14" s="106">
        <v>796654170</v>
      </c>
      <c r="I14" s="107">
        <v>0.14052159138580714</v>
      </c>
    </row>
    <row r="15" spans="1:9" s="141" customFormat="1" ht="14.25">
      <c r="A15" s="104" t="s">
        <v>84</v>
      </c>
      <c r="B15" s="110">
        <v>903</v>
      </c>
      <c r="C15" s="140">
        <v>2709</v>
      </c>
      <c r="D15" s="106">
        <v>404202250</v>
      </c>
      <c r="E15" s="107">
        <v>6.3440629954438863E-3</v>
      </c>
      <c r="F15" s="106">
        <v>20759207</v>
      </c>
      <c r="G15" s="107">
        <v>3.4870081417577919E-3</v>
      </c>
      <c r="H15" s="106">
        <v>20759207</v>
      </c>
      <c r="I15" s="107">
        <v>3.661710329775073E-3</v>
      </c>
    </row>
    <row r="16" spans="1:9" s="141" customFormat="1" ht="14.25">
      <c r="A16" s="104" t="s">
        <v>85</v>
      </c>
      <c r="B16" s="110">
        <v>7500</v>
      </c>
      <c r="C16" s="140">
        <v>7500</v>
      </c>
      <c r="D16" s="106">
        <v>2013500819</v>
      </c>
      <c r="E16" s="107">
        <v>3.1602436743273593E-2</v>
      </c>
      <c r="F16" s="106">
        <v>87478071</v>
      </c>
      <c r="G16" s="107">
        <v>1.4694046155147746E-2</v>
      </c>
      <c r="H16" s="106">
        <v>87478071</v>
      </c>
      <c r="I16" s="107">
        <v>1.5430230846944068E-2</v>
      </c>
    </row>
    <row r="17" spans="1:9" s="141" customFormat="1" ht="14.25">
      <c r="A17" s="104" t="s">
        <v>86</v>
      </c>
      <c r="B17" s="110">
        <v>4242</v>
      </c>
      <c r="C17" s="108">
        <v>0</v>
      </c>
      <c r="D17" s="106">
        <v>1101587612</v>
      </c>
      <c r="E17" s="107">
        <v>1.7289713764652714E-2</v>
      </c>
      <c r="F17" s="106">
        <v>30253985</v>
      </c>
      <c r="G17" s="107">
        <v>5.0818844869950043E-3</v>
      </c>
      <c r="H17" s="106">
        <v>30253985</v>
      </c>
      <c r="I17" s="107">
        <v>5.3364913886816637E-3</v>
      </c>
    </row>
    <row r="18" spans="1:9" s="141" customFormat="1" ht="14.25">
      <c r="A18" s="104" t="s">
        <v>87</v>
      </c>
      <c r="B18" s="110">
        <v>1276</v>
      </c>
      <c r="C18" s="110">
        <v>1397</v>
      </c>
      <c r="D18" s="106">
        <v>471614110</v>
      </c>
      <c r="E18" s="107">
        <v>7.4021102638102644E-3</v>
      </c>
      <c r="F18" s="106">
        <v>22119766</v>
      </c>
      <c r="G18" s="107">
        <v>3.7155467516546844E-3</v>
      </c>
      <c r="H18" s="106">
        <v>22119766</v>
      </c>
      <c r="I18" s="107">
        <v>3.9016989258986359E-3</v>
      </c>
    </row>
    <row r="19" spans="1:9" s="141" customFormat="1" ht="15" customHeight="1">
      <c r="A19" s="109"/>
      <c r="B19" s="110"/>
      <c r="C19" s="140"/>
      <c r="D19" s="106"/>
      <c r="E19" s="111"/>
      <c r="F19" s="106"/>
      <c r="G19" s="111"/>
      <c r="H19" s="106"/>
      <c r="I19" s="111"/>
    </row>
    <row r="20" spans="1:9" s="136" customFormat="1" ht="15">
      <c r="A20" s="86" t="s">
        <v>60</v>
      </c>
      <c r="B20" s="139">
        <v>3910</v>
      </c>
      <c r="C20" s="139">
        <v>18885</v>
      </c>
      <c r="D20" s="101">
        <v>1135170614</v>
      </c>
      <c r="E20" s="103">
        <v>1.7816808010823082E-2</v>
      </c>
      <c r="F20" s="101">
        <v>356253755</v>
      </c>
      <c r="G20" s="103">
        <v>5.9841387207940341E-2</v>
      </c>
      <c r="H20" s="101">
        <v>310747788</v>
      </c>
      <c r="I20" s="103">
        <v>5.4812709622017564E-2</v>
      </c>
    </row>
    <row r="21" spans="1:9" s="141" customFormat="1" ht="14.25">
      <c r="A21" s="104" t="s">
        <v>88</v>
      </c>
      <c r="B21" s="140">
        <v>187</v>
      </c>
      <c r="C21" s="140">
        <v>9713</v>
      </c>
      <c r="D21" s="106">
        <v>506567330</v>
      </c>
      <c r="E21" s="107">
        <v>7.9507104499141491E-3</v>
      </c>
      <c r="F21" s="106">
        <v>192443671</v>
      </c>
      <c r="G21" s="107">
        <v>3.2325543437509818E-2</v>
      </c>
      <c r="H21" s="106">
        <v>159268506</v>
      </c>
      <c r="I21" s="107">
        <v>2.8093324259835319E-2</v>
      </c>
    </row>
    <row r="22" spans="1:9" s="141" customFormat="1" ht="14.25">
      <c r="A22" s="104" t="s">
        <v>89</v>
      </c>
      <c r="B22" s="140">
        <v>26</v>
      </c>
      <c r="C22" s="140">
        <v>1928</v>
      </c>
      <c r="D22" s="106">
        <v>85034000</v>
      </c>
      <c r="E22" s="107">
        <v>1.3346314938983525E-3</v>
      </c>
      <c r="F22" s="106">
        <v>31481487</v>
      </c>
      <c r="G22" s="107">
        <v>5.2880729732904573E-3</v>
      </c>
      <c r="H22" s="106">
        <v>24799211</v>
      </c>
      <c r="I22" s="107">
        <v>4.3743254301077889E-3</v>
      </c>
    </row>
    <row r="23" spans="1:9" s="141" customFormat="1" ht="14.25">
      <c r="A23" s="104" t="s">
        <v>85</v>
      </c>
      <c r="B23" s="140">
        <v>2834</v>
      </c>
      <c r="C23" s="140">
        <v>2834</v>
      </c>
      <c r="D23" s="106">
        <v>139836022</v>
      </c>
      <c r="E23" s="107">
        <v>2.1947639643279501E-3</v>
      </c>
      <c r="F23" s="106">
        <v>55657410</v>
      </c>
      <c r="G23" s="107">
        <v>9.3490007503249789E-3</v>
      </c>
      <c r="H23" s="106">
        <v>50008884</v>
      </c>
      <c r="I23" s="107">
        <v>8.8210521299452033E-3</v>
      </c>
    </row>
    <row r="24" spans="1:9" s="141" customFormat="1" ht="14.25">
      <c r="A24" s="104" t="s">
        <v>90</v>
      </c>
      <c r="B24" s="108">
        <v>4</v>
      </c>
      <c r="C24" s="108">
        <v>571</v>
      </c>
      <c r="D24" s="106">
        <v>3143435</v>
      </c>
      <c r="E24" s="142">
        <v>4.9337057530192252E-5</v>
      </c>
      <c r="F24" s="106">
        <v>610180</v>
      </c>
      <c r="G24" s="142">
        <v>1.0249440780362031E-4</v>
      </c>
      <c r="H24" s="106">
        <v>610180</v>
      </c>
      <c r="I24" s="142">
        <v>1.07629468169095E-4</v>
      </c>
    </row>
    <row r="25" spans="1:9" s="141" customFormat="1" ht="14.25">
      <c r="A25" s="112" t="s">
        <v>91</v>
      </c>
      <c r="B25" s="108">
        <v>0</v>
      </c>
      <c r="C25" s="108">
        <v>0</v>
      </c>
      <c r="D25" s="108">
        <v>0</v>
      </c>
      <c r="E25" s="142">
        <v>0</v>
      </c>
      <c r="F25" s="108">
        <v>0</v>
      </c>
      <c r="G25" s="142">
        <v>0</v>
      </c>
      <c r="H25" s="108">
        <v>0</v>
      </c>
      <c r="I25" s="142">
        <v>0</v>
      </c>
    </row>
    <row r="26" spans="1:9" s="141" customFormat="1" ht="14.25">
      <c r="A26" s="104" t="s">
        <v>92</v>
      </c>
      <c r="B26" s="140">
        <v>835</v>
      </c>
      <c r="C26" s="140">
        <v>3780</v>
      </c>
      <c r="D26" s="106">
        <v>392932826</v>
      </c>
      <c r="E26" s="107">
        <v>6.1671863556469345E-3</v>
      </c>
      <c r="F26" s="106">
        <v>75623596</v>
      </c>
      <c r="G26" s="107">
        <v>1.2702801940411403E-2</v>
      </c>
      <c r="H26" s="106">
        <v>75623596</v>
      </c>
      <c r="I26" s="107">
        <v>1.333922353816005E-2</v>
      </c>
    </row>
    <row r="27" spans="1:9" s="141" customFormat="1" ht="14.25">
      <c r="A27" s="104" t="s">
        <v>93</v>
      </c>
      <c r="B27" s="140">
        <v>6</v>
      </c>
      <c r="C27" s="140">
        <v>43</v>
      </c>
      <c r="D27" s="106">
        <v>5121000</v>
      </c>
      <c r="E27" s="107">
        <v>8.037547193185624E-5</v>
      </c>
      <c r="F27" s="106">
        <v>271155</v>
      </c>
      <c r="G27" s="107">
        <v>4.5547004405242165E-5</v>
      </c>
      <c r="H27" s="106">
        <v>271155</v>
      </c>
      <c r="I27" s="107">
        <v>4.7828949558148342E-5</v>
      </c>
    </row>
    <row r="28" spans="1:9" s="141" customFormat="1" ht="14.25">
      <c r="A28" s="104" t="s">
        <v>94</v>
      </c>
      <c r="B28" s="140">
        <v>18</v>
      </c>
      <c r="C28" s="140">
        <v>16</v>
      </c>
      <c r="D28" s="106">
        <v>2536001</v>
      </c>
      <c r="E28" s="107">
        <v>3.9803217573649552E-5</v>
      </c>
      <c r="F28" s="106">
        <v>166256</v>
      </c>
      <c r="G28" s="107">
        <v>2.7926694194825623E-5</v>
      </c>
      <c r="H28" s="106">
        <v>166256</v>
      </c>
      <c r="I28" s="107">
        <v>2.9325846241963122E-5</v>
      </c>
    </row>
    <row r="29" spans="1:9" s="141" customFormat="1" ht="14.25">
      <c r="A29" s="104" t="s">
        <v>95</v>
      </c>
      <c r="B29" s="108">
        <v>0</v>
      </c>
      <c r="C29" s="108">
        <v>0</v>
      </c>
      <c r="D29" s="108">
        <v>0</v>
      </c>
      <c r="E29" s="142">
        <v>0</v>
      </c>
      <c r="F29" s="108">
        <v>0</v>
      </c>
      <c r="G29" s="142">
        <v>0</v>
      </c>
      <c r="H29" s="108">
        <v>0</v>
      </c>
      <c r="I29" s="142">
        <v>0</v>
      </c>
    </row>
    <row r="30" spans="1:9" s="141" customFormat="1" ht="15" customHeight="1">
      <c r="A30" s="104"/>
      <c r="B30" s="110"/>
      <c r="C30" s="143"/>
      <c r="D30" s="106"/>
      <c r="E30" s="107"/>
      <c r="F30" s="106"/>
      <c r="G30" s="107"/>
      <c r="H30" s="106"/>
      <c r="I30" s="107"/>
    </row>
    <row r="31" spans="1:9" s="136" customFormat="1" ht="15">
      <c r="A31" s="86" t="s">
        <v>61</v>
      </c>
      <c r="B31" s="139">
        <v>64</v>
      </c>
      <c r="C31" s="176">
        <v>0</v>
      </c>
      <c r="D31" s="101">
        <v>1721712499</v>
      </c>
      <c r="E31" s="103">
        <v>2.7022740604979608E-2</v>
      </c>
      <c r="F31" s="101">
        <v>758929321</v>
      </c>
      <c r="G31" s="103">
        <v>0.12748043416811214</v>
      </c>
      <c r="H31" s="101">
        <v>758929321</v>
      </c>
      <c r="I31" s="103">
        <v>0.13386731652489819</v>
      </c>
    </row>
    <row r="32" spans="1:9" s="141" customFormat="1" ht="14.25">
      <c r="A32" s="104" t="s">
        <v>96</v>
      </c>
      <c r="B32" s="110">
        <v>6</v>
      </c>
      <c r="C32" s="177">
        <v>0</v>
      </c>
      <c r="D32" s="106">
        <v>1300659062</v>
      </c>
      <c r="E32" s="107">
        <v>2.0414193698632194E-2</v>
      </c>
      <c r="F32" s="106">
        <v>585296579</v>
      </c>
      <c r="G32" s="107">
        <v>9.8314638719869341E-2</v>
      </c>
      <c r="H32" s="106">
        <v>585296579</v>
      </c>
      <c r="I32" s="107">
        <v>0.10324028896220901</v>
      </c>
    </row>
    <row r="33" spans="1:9" s="141" customFormat="1" ht="14.25">
      <c r="A33" s="104" t="s">
        <v>97</v>
      </c>
      <c r="B33" s="110">
        <v>58</v>
      </c>
      <c r="C33" s="177">
        <v>0</v>
      </c>
      <c r="D33" s="106">
        <v>421053437</v>
      </c>
      <c r="E33" s="107">
        <v>6.6085469063474128E-3</v>
      </c>
      <c r="F33" s="106">
        <v>173632742</v>
      </c>
      <c r="G33" s="107">
        <v>2.9165795448242802E-2</v>
      </c>
      <c r="H33" s="106">
        <v>173632742</v>
      </c>
      <c r="I33" s="107">
        <v>3.0627027562689181E-2</v>
      </c>
    </row>
    <row r="34" spans="1:9" s="141" customFormat="1" ht="14.25">
      <c r="A34" s="112" t="s">
        <v>87</v>
      </c>
      <c r="B34" s="108">
        <v>0</v>
      </c>
      <c r="C34" s="108">
        <v>0</v>
      </c>
      <c r="D34" s="108">
        <v>0</v>
      </c>
      <c r="E34" s="142">
        <v>0</v>
      </c>
      <c r="F34" s="108">
        <v>0</v>
      </c>
      <c r="G34" s="142">
        <v>0</v>
      </c>
      <c r="H34" s="108">
        <v>0</v>
      </c>
      <c r="I34" s="142">
        <v>0</v>
      </c>
    </row>
    <row r="35" spans="1:9" s="141" customFormat="1" ht="15" customHeight="1">
      <c r="A35" s="109"/>
      <c r="B35" s="110"/>
      <c r="C35" s="114"/>
      <c r="D35" s="106"/>
      <c r="E35" s="111"/>
      <c r="F35" s="106"/>
      <c r="G35" s="111"/>
      <c r="H35" s="106"/>
      <c r="I35" s="111"/>
    </row>
    <row r="36" spans="1:9" s="136" customFormat="1" ht="15">
      <c r="A36" s="86" t="s">
        <v>62</v>
      </c>
      <c r="B36" s="139">
        <v>5808</v>
      </c>
      <c r="C36" s="115">
        <v>31409084</v>
      </c>
      <c r="D36" s="116">
        <v>5605285217</v>
      </c>
      <c r="E36" s="103">
        <v>8.7976458627032239E-2</v>
      </c>
      <c r="F36" s="116">
        <v>2141421708</v>
      </c>
      <c r="G36" s="103">
        <v>0.35970328398059126</v>
      </c>
      <c r="H36" s="116">
        <v>1902892480</v>
      </c>
      <c r="I36" s="103">
        <v>0.3356506368700552</v>
      </c>
    </row>
    <row r="37" spans="1:9" s="141" customFormat="1" ht="14.25">
      <c r="A37" s="117" t="s">
        <v>98</v>
      </c>
      <c r="B37" s="140">
        <v>732</v>
      </c>
      <c r="C37" s="118">
        <v>4996982</v>
      </c>
      <c r="D37" s="106">
        <v>659981362</v>
      </c>
      <c r="E37" s="107">
        <v>1.0358584932040471E-2</v>
      </c>
      <c r="F37" s="106">
        <v>256644581</v>
      </c>
      <c r="G37" s="107">
        <v>4.310963051165765E-2</v>
      </c>
      <c r="H37" s="106">
        <v>219997227</v>
      </c>
      <c r="I37" s="107">
        <v>3.8805245240233481E-2</v>
      </c>
    </row>
    <row r="38" spans="1:9" s="141" customFormat="1" ht="14.25">
      <c r="A38" s="109" t="s">
        <v>99</v>
      </c>
      <c r="B38" s="140">
        <v>67</v>
      </c>
      <c r="C38" s="118">
        <v>97511</v>
      </c>
      <c r="D38" s="106">
        <v>13876224</v>
      </c>
      <c r="E38" s="107">
        <v>2.1779106671199962E-4</v>
      </c>
      <c r="F38" s="106">
        <v>5504788</v>
      </c>
      <c r="G38" s="107">
        <v>9.2466155256559616E-4</v>
      </c>
      <c r="H38" s="106">
        <v>4767172</v>
      </c>
      <c r="I38" s="107">
        <v>8.408800469215656E-4</v>
      </c>
    </row>
    <row r="39" spans="1:9" s="141" customFormat="1" ht="14.25">
      <c r="A39" s="109" t="s">
        <v>100</v>
      </c>
      <c r="B39" s="108">
        <v>0</v>
      </c>
      <c r="C39" s="108">
        <v>0</v>
      </c>
      <c r="D39" s="108">
        <v>0</v>
      </c>
      <c r="E39" s="142">
        <v>0</v>
      </c>
      <c r="F39" s="108">
        <v>0</v>
      </c>
      <c r="G39" s="142">
        <v>0</v>
      </c>
      <c r="H39" s="108">
        <v>0</v>
      </c>
      <c r="I39" s="142">
        <v>0</v>
      </c>
    </row>
    <row r="40" spans="1:9" s="141" customFormat="1" ht="14.25">
      <c r="A40" s="119" t="s">
        <v>101</v>
      </c>
      <c r="B40" s="140">
        <v>1583</v>
      </c>
      <c r="C40" s="118">
        <v>13846512</v>
      </c>
      <c r="D40" s="106">
        <v>2403276341</v>
      </c>
      <c r="E40" s="107">
        <v>3.7720068363706241E-2</v>
      </c>
      <c r="F40" s="106">
        <v>989036150</v>
      </c>
      <c r="G40" s="107">
        <v>0.16613241091255465</v>
      </c>
      <c r="H40" s="106">
        <v>854255731</v>
      </c>
      <c r="I40" s="107">
        <v>0.15068191354670996</v>
      </c>
    </row>
    <row r="41" spans="1:9" s="141" customFormat="1" ht="14.25">
      <c r="A41" s="109" t="s">
        <v>102</v>
      </c>
      <c r="B41" s="140">
        <v>20</v>
      </c>
      <c r="C41" s="118">
        <v>68411</v>
      </c>
      <c r="D41" s="106">
        <v>6047324</v>
      </c>
      <c r="E41" s="107">
        <v>9.4914376181378765E-5</v>
      </c>
      <c r="F41" s="106">
        <v>778945</v>
      </c>
      <c r="G41" s="107">
        <v>1.3084254889801538E-4</v>
      </c>
      <c r="H41" s="106">
        <v>748355</v>
      </c>
      <c r="I41" s="107">
        <v>1.3200211519827441E-4</v>
      </c>
    </row>
    <row r="42" spans="1:9" s="141" customFormat="1" ht="14.25">
      <c r="A42" s="109" t="s">
        <v>103</v>
      </c>
      <c r="B42" s="140">
        <v>87</v>
      </c>
      <c r="C42" s="118">
        <v>1191132</v>
      </c>
      <c r="D42" s="106">
        <v>120441000</v>
      </c>
      <c r="E42" s="107">
        <v>1.8903538791143718E-3</v>
      </c>
      <c r="F42" s="106">
        <v>37334916</v>
      </c>
      <c r="G42" s="107">
        <v>6.2712971677503504E-3</v>
      </c>
      <c r="H42" s="106">
        <v>33948596</v>
      </c>
      <c r="I42" s="107">
        <v>5.9881827207831553E-3</v>
      </c>
    </row>
    <row r="43" spans="1:9" s="141" customFormat="1" ht="14.25">
      <c r="A43" s="109" t="s">
        <v>104</v>
      </c>
      <c r="B43" s="140">
        <v>373</v>
      </c>
      <c r="C43" s="118">
        <v>4198514</v>
      </c>
      <c r="D43" s="106">
        <v>222851170</v>
      </c>
      <c r="E43" s="107">
        <v>3.4977090332584111E-3</v>
      </c>
      <c r="F43" s="106">
        <v>75733654</v>
      </c>
      <c r="G43" s="107">
        <v>1.2721288828762464E-2</v>
      </c>
      <c r="H43" s="106">
        <v>65167367</v>
      </c>
      <c r="I43" s="107">
        <v>1.1494852424186686E-2</v>
      </c>
    </row>
    <row r="44" spans="1:9" s="141" customFormat="1" ht="14.25">
      <c r="A44" s="109" t="s">
        <v>105</v>
      </c>
      <c r="B44" s="108">
        <v>0</v>
      </c>
      <c r="C44" s="108">
        <v>0</v>
      </c>
      <c r="D44" s="108">
        <v>0</v>
      </c>
      <c r="E44" s="142">
        <v>0</v>
      </c>
      <c r="F44" s="108">
        <v>0</v>
      </c>
      <c r="G44" s="142">
        <v>0</v>
      </c>
      <c r="H44" s="108">
        <v>0</v>
      </c>
      <c r="I44" s="142">
        <v>0</v>
      </c>
    </row>
    <row r="45" spans="1:9" s="141" customFormat="1" ht="14.25">
      <c r="A45" s="109" t="s">
        <v>106</v>
      </c>
      <c r="B45" s="140">
        <v>13</v>
      </c>
      <c r="C45" s="118">
        <v>963921</v>
      </c>
      <c r="D45" s="106">
        <v>54434000</v>
      </c>
      <c r="E45" s="107">
        <v>8.5435626618603059E-4</v>
      </c>
      <c r="F45" s="106">
        <v>19155780</v>
      </c>
      <c r="G45" s="107">
        <v>3.2176740094995476E-3</v>
      </c>
      <c r="H45" s="106">
        <v>16292733</v>
      </c>
      <c r="I45" s="107">
        <v>2.8738703133682907E-3</v>
      </c>
    </row>
    <row r="46" spans="1:9" s="141" customFormat="1" ht="14.25">
      <c r="A46" s="109" t="s">
        <v>107</v>
      </c>
      <c r="B46" s="108">
        <v>0</v>
      </c>
      <c r="C46" s="108">
        <v>0</v>
      </c>
      <c r="D46" s="108">
        <v>0</v>
      </c>
      <c r="E46" s="142">
        <v>0</v>
      </c>
      <c r="F46" s="108">
        <v>0</v>
      </c>
      <c r="G46" s="142">
        <v>0</v>
      </c>
      <c r="H46" s="108">
        <v>0</v>
      </c>
      <c r="I46" s="142">
        <v>0</v>
      </c>
    </row>
    <row r="47" spans="1:9" s="141" customFormat="1" ht="14.25">
      <c r="A47" s="109" t="s">
        <v>108</v>
      </c>
      <c r="B47" s="140">
        <v>697</v>
      </c>
      <c r="C47" s="118">
        <v>1772553</v>
      </c>
      <c r="D47" s="106">
        <v>270971010</v>
      </c>
      <c r="E47" s="107">
        <v>4.2529628604963364E-3</v>
      </c>
      <c r="F47" s="106">
        <v>118260620</v>
      </c>
      <c r="G47" s="107">
        <v>1.9864715679617451E-2</v>
      </c>
      <c r="H47" s="106">
        <v>105766282</v>
      </c>
      <c r="I47" s="107">
        <v>1.8656082929434797E-2</v>
      </c>
    </row>
    <row r="48" spans="1:9" s="141" customFormat="1" ht="14.25">
      <c r="A48" s="109" t="s">
        <v>109</v>
      </c>
      <c r="B48" s="140">
        <v>141</v>
      </c>
      <c r="C48" s="118">
        <v>119225</v>
      </c>
      <c r="D48" s="106">
        <v>2262197</v>
      </c>
      <c r="E48" s="107">
        <v>3.5505790173370318E-5</v>
      </c>
      <c r="F48" s="106">
        <v>740000</v>
      </c>
      <c r="G48" s="107">
        <v>1.2430079939473439E-4</v>
      </c>
      <c r="H48" s="106">
        <v>400713</v>
      </c>
      <c r="I48" s="107">
        <v>7.0681646527979546E-5</v>
      </c>
    </row>
    <row r="49" spans="1:9" s="141" customFormat="1" ht="14.25">
      <c r="A49" s="109" t="s">
        <v>110</v>
      </c>
      <c r="B49" s="140">
        <v>87</v>
      </c>
      <c r="C49" s="118">
        <v>1940287</v>
      </c>
      <c r="D49" s="106">
        <v>258676540</v>
      </c>
      <c r="E49" s="107">
        <v>4.0599978481155414E-3</v>
      </c>
      <c r="F49" s="106">
        <v>81551657</v>
      </c>
      <c r="G49" s="107">
        <v>1.3698562374412415E-2</v>
      </c>
      <c r="H49" s="106">
        <v>71015744</v>
      </c>
      <c r="I49" s="107">
        <v>1.2526445898509618E-2</v>
      </c>
    </row>
    <row r="50" spans="1:9" s="141" customFormat="1" ht="14.25">
      <c r="A50" s="109" t="s">
        <v>111</v>
      </c>
      <c r="B50" s="140">
        <v>2</v>
      </c>
      <c r="C50" s="118">
        <v>128920</v>
      </c>
      <c r="D50" s="106">
        <v>16131000</v>
      </c>
      <c r="E50" s="107">
        <v>2.5318038229501524E-4</v>
      </c>
      <c r="F50" s="106">
        <v>2511450</v>
      </c>
      <c r="G50" s="107">
        <v>4.2185843599987254E-4</v>
      </c>
      <c r="H50" s="106">
        <v>2349180</v>
      </c>
      <c r="I50" s="107">
        <v>4.1437115938489392E-4</v>
      </c>
    </row>
    <row r="51" spans="1:9" s="141" customFormat="1" ht="14.25">
      <c r="A51" s="109" t="s">
        <v>112</v>
      </c>
      <c r="B51" s="140">
        <v>91</v>
      </c>
      <c r="C51" s="118">
        <v>574555</v>
      </c>
      <c r="D51" s="106">
        <v>305906407</v>
      </c>
      <c r="E51" s="107">
        <v>4.8012833098229823E-3</v>
      </c>
      <c r="F51" s="106">
        <v>42665593</v>
      </c>
      <c r="G51" s="107">
        <v>7.166712589932951E-3</v>
      </c>
      <c r="H51" s="106">
        <v>38845332</v>
      </c>
      <c r="I51" s="107">
        <v>6.851916523012762E-3</v>
      </c>
    </row>
    <row r="52" spans="1:9" s="141" customFormat="1" ht="14.25">
      <c r="A52" s="109" t="s">
        <v>113</v>
      </c>
      <c r="B52" s="108">
        <v>0</v>
      </c>
      <c r="C52" s="108">
        <v>0</v>
      </c>
      <c r="D52" s="108">
        <v>0</v>
      </c>
      <c r="E52" s="142">
        <v>0</v>
      </c>
      <c r="F52" s="108">
        <v>0</v>
      </c>
      <c r="G52" s="142">
        <v>0</v>
      </c>
      <c r="H52" s="108">
        <v>0</v>
      </c>
      <c r="I52" s="142">
        <v>0</v>
      </c>
    </row>
    <row r="53" spans="1:9" s="141" customFormat="1" ht="14.25">
      <c r="A53" s="109" t="s">
        <v>114</v>
      </c>
      <c r="B53" s="140">
        <v>13</v>
      </c>
      <c r="C53" s="118">
        <v>442938</v>
      </c>
      <c r="D53" s="106">
        <v>101050000</v>
      </c>
      <c r="E53" s="107">
        <v>1.5860069202722267E-3</v>
      </c>
      <c r="F53" s="106">
        <v>12104550</v>
      </c>
      <c r="G53" s="107">
        <v>2.0332503260993679E-3</v>
      </c>
      <c r="H53" s="106">
        <v>10490452</v>
      </c>
      <c r="I53" s="107">
        <v>1.8504076987338474E-3</v>
      </c>
    </row>
    <row r="54" spans="1:9" s="141" customFormat="1" ht="14.25">
      <c r="A54" s="109" t="s">
        <v>115</v>
      </c>
      <c r="B54" s="108">
        <v>0</v>
      </c>
      <c r="C54" s="108">
        <v>0</v>
      </c>
      <c r="D54" s="108">
        <v>0</v>
      </c>
      <c r="E54" s="142">
        <v>0</v>
      </c>
      <c r="F54" s="108">
        <v>0</v>
      </c>
      <c r="G54" s="142">
        <v>0</v>
      </c>
      <c r="H54" s="108">
        <v>0</v>
      </c>
      <c r="I54" s="142">
        <v>0</v>
      </c>
    </row>
    <row r="55" spans="1:9" s="141" customFormat="1" ht="14.25">
      <c r="A55" s="109" t="s">
        <v>116</v>
      </c>
      <c r="B55" s="108">
        <v>0</v>
      </c>
      <c r="C55" s="108">
        <v>0</v>
      </c>
      <c r="D55" s="108">
        <v>0</v>
      </c>
      <c r="E55" s="142">
        <v>0</v>
      </c>
      <c r="F55" s="108">
        <v>0</v>
      </c>
      <c r="G55" s="142">
        <v>0</v>
      </c>
      <c r="H55" s="108">
        <v>0</v>
      </c>
      <c r="I55" s="142">
        <v>0</v>
      </c>
    </row>
    <row r="56" spans="1:9" s="141" customFormat="1" ht="14.25">
      <c r="A56" s="109" t="s">
        <v>117</v>
      </c>
      <c r="B56" s="140">
        <v>299</v>
      </c>
      <c r="C56" s="118">
        <v>160270</v>
      </c>
      <c r="D56" s="106">
        <v>3066074</v>
      </c>
      <c r="E56" s="107">
        <v>4.812285583440621E-5</v>
      </c>
      <c r="F56" s="106">
        <v>1379730</v>
      </c>
      <c r="G56" s="107">
        <v>2.3175884047148227E-4</v>
      </c>
      <c r="H56" s="106">
        <v>1242684</v>
      </c>
      <c r="I56" s="107">
        <v>2.1919666003842087E-4</v>
      </c>
    </row>
    <row r="57" spans="1:9" s="141" customFormat="1" ht="14.25">
      <c r="A57" s="109" t="s">
        <v>118</v>
      </c>
      <c r="B57" s="140">
        <v>415</v>
      </c>
      <c r="C57" s="108">
        <v>0</v>
      </c>
      <c r="D57" s="106">
        <v>644405699</v>
      </c>
      <c r="E57" s="107">
        <v>1.0114120713279185E-2</v>
      </c>
      <c r="F57" s="106">
        <v>282551462</v>
      </c>
      <c r="G57" s="107">
        <v>4.7461314319933674E-2</v>
      </c>
      <c r="H57" s="106">
        <v>279521734</v>
      </c>
      <c r="I57" s="107">
        <v>4.9304755272416727E-2</v>
      </c>
    </row>
    <row r="58" spans="1:9" s="141" customFormat="1" ht="14.25">
      <c r="A58" s="109" t="s">
        <v>86</v>
      </c>
      <c r="B58" s="140">
        <v>809</v>
      </c>
      <c r="C58" s="108">
        <v>0</v>
      </c>
      <c r="D58" s="106">
        <v>398406759</v>
      </c>
      <c r="E58" s="107">
        <v>6.2531012059102355E-3</v>
      </c>
      <c r="F58" s="106">
        <v>178629218</v>
      </c>
      <c r="G58" s="107">
        <v>3.0005073773859834E-2</v>
      </c>
      <c r="H58" s="106">
        <v>164070812</v>
      </c>
      <c r="I58" s="107">
        <v>2.8940401582535594E-2</v>
      </c>
    </row>
    <row r="59" spans="1:9" s="141" customFormat="1" ht="14.25">
      <c r="A59" s="121" t="s">
        <v>87</v>
      </c>
      <c r="B59" s="144">
        <v>379</v>
      </c>
      <c r="C59" s="145">
        <v>907353</v>
      </c>
      <c r="D59" s="124">
        <v>123502110</v>
      </c>
      <c r="E59" s="125">
        <v>1.9383988236340603E-3</v>
      </c>
      <c r="F59" s="124">
        <v>36838614</v>
      </c>
      <c r="G59" s="125">
        <v>6.1879313091811536E-3</v>
      </c>
      <c r="H59" s="124">
        <v>34012366</v>
      </c>
      <c r="I59" s="125">
        <v>5.9994310920590795E-3</v>
      </c>
    </row>
    <row r="60" spans="1:9" s="136" customFormat="1" ht="12" customHeight="1">
      <c r="A60" s="146"/>
      <c r="B60" s="147"/>
      <c r="C60" s="147"/>
      <c r="D60" s="148"/>
      <c r="E60" s="148"/>
      <c r="F60" s="149"/>
      <c r="G60" s="150"/>
      <c r="H60" s="149"/>
      <c r="I60" s="150"/>
    </row>
    <row r="61" spans="1:9" s="126" customFormat="1">
      <c r="A61" s="151"/>
      <c r="B61" s="147"/>
      <c r="C61" s="152"/>
      <c r="D61" s="153"/>
      <c r="E61" s="153"/>
      <c r="F61" s="154"/>
      <c r="G61" s="155"/>
      <c r="H61" s="154"/>
      <c r="I61" s="154"/>
    </row>
    <row r="62" spans="1:9" s="126" customFormat="1">
      <c r="A62" s="151"/>
      <c r="B62" s="156"/>
      <c r="C62" s="152"/>
      <c r="D62" s="153"/>
      <c r="E62" s="153"/>
      <c r="F62" s="154"/>
      <c r="G62" s="155"/>
      <c r="H62" s="154"/>
      <c r="I62" s="154"/>
    </row>
    <row r="63" spans="1:9" s="126" customFormat="1">
      <c r="A63" s="163"/>
      <c r="B63" s="127"/>
      <c r="C63" s="127"/>
      <c r="D63" s="128"/>
      <c r="E63" s="128"/>
      <c r="F63" s="129"/>
      <c r="G63" s="130"/>
      <c r="H63" s="129"/>
      <c r="I63" s="129"/>
    </row>
    <row r="64" spans="1:9" s="126" customFormat="1" ht="11.45" customHeight="1">
      <c r="A64" s="167"/>
      <c r="B64" s="127"/>
      <c r="C64" s="127"/>
      <c r="D64" s="128"/>
      <c r="E64" s="128"/>
      <c r="F64" s="129"/>
      <c r="G64" s="130"/>
      <c r="H64" s="129"/>
      <c r="I64" s="129"/>
    </row>
  </sheetData>
  <mergeCells count="6">
    <mergeCell ref="H8:I8"/>
    <mergeCell ref="A1:I1"/>
    <mergeCell ref="A2:I2"/>
    <mergeCell ref="A3:I3"/>
    <mergeCell ref="A5:I5"/>
    <mergeCell ref="F7:I7"/>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89"/>
  <sheetViews>
    <sheetView showGridLines="0" topLeftCell="A31" workbookViewId="0">
      <selection activeCell="D42" sqref="D42"/>
    </sheetView>
  </sheetViews>
  <sheetFormatPr defaultColWidth="10" defaultRowHeight="12.75"/>
  <cols>
    <col min="1" max="1" width="21.5703125" style="208" bestFit="1" customWidth="1"/>
    <col min="2" max="2" width="12.5703125" style="208" customWidth="1"/>
    <col min="3" max="3" width="13.7109375" style="208" bestFit="1" customWidth="1"/>
    <col min="4" max="4" width="15.5703125" style="208" customWidth="1"/>
    <col min="5" max="5" width="15" style="208" customWidth="1"/>
    <col min="6" max="6" width="12.85546875" style="208" customWidth="1"/>
    <col min="7" max="7" width="15.42578125" style="208" customWidth="1"/>
    <col min="8" max="8" width="10" style="208"/>
    <col min="9" max="9" width="12.7109375" style="208" bestFit="1" customWidth="1"/>
    <col min="10" max="16384" width="10" style="208"/>
  </cols>
  <sheetData>
    <row r="1" spans="1:14" ht="15" customHeight="1">
      <c r="A1" s="1008" t="s">
        <v>125</v>
      </c>
      <c r="B1" s="1009"/>
      <c r="C1" s="1009"/>
      <c r="D1" s="1009"/>
      <c r="E1" s="1009"/>
      <c r="F1" s="1009"/>
      <c r="G1" s="1009"/>
    </row>
    <row r="2" spans="1:14" ht="15" customHeight="1">
      <c r="A2" s="1008" t="s">
        <v>126</v>
      </c>
      <c r="B2" s="1009"/>
      <c r="C2" s="1009"/>
      <c r="D2" s="1009"/>
      <c r="E2" s="1009"/>
      <c r="F2" s="1009"/>
      <c r="G2" s="1009"/>
    </row>
    <row r="3" spans="1:14" ht="15" customHeight="1">
      <c r="A3" s="1008" t="s">
        <v>127</v>
      </c>
      <c r="B3" s="1009"/>
      <c r="C3" s="1009"/>
      <c r="D3" s="1009"/>
      <c r="E3" s="1009"/>
      <c r="F3" s="1009"/>
      <c r="G3" s="1009"/>
    </row>
    <row r="4" spans="1:14" ht="15">
      <c r="A4" s="1008" t="s">
        <v>69</v>
      </c>
      <c r="B4" s="1009"/>
      <c r="C4" s="1009"/>
      <c r="D4" s="1009"/>
      <c r="E4" s="1009"/>
      <c r="F4" s="1009"/>
      <c r="G4" s="1009"/>
    </row>
    <row r="5" spans="1:14" ht="6.95" customHeight="1">
      <c r="A5" s="178"/>
      <c r="B5" s="178"/>
      <c r="C5" s="178"/>
      <c r="D5" s="178"/>
      <c r="E5" s="178"/>
      <c r="F5" s="178"/>
      <c r="G5" s="178"/>
    </row>
    <row r="6" spans="1:14" ht="15">
      <c r="A6" s="1008" t="s">
        <v>63</v>
      </c>
      <c r="B6" s="1009"/>
      <c r="C6" s="1009"/>
      <c r="D6" s="1009"/>
      <c r="E6" s="1009"/>
      <c r="F6" s="1009"/>
      <c r="G6" s="1009"/>
    </row>
    <row r="7" spans="1:14" ht="6.95" customHeight="1">
      <c r="A7" s="179"/>
      <c r="B7" s="178"/>
      <c r="C7" s="178"/>
      <c r="D7" s="178"/>
      <c r="E7" s="178"/>
      <c r="F7" s="178"/>
      <c r="G7" s="178"/>
    </row>
    <row r="8" spans="1:14" ht="13.9" customHeight="1">
      <c r="A8" s="180"/>
      <c r="B8" s="1004" t="s">
        <v>36</v>
      </c>
      <c r="C8" s="1005"/>
      <c r="D8" s="1004" t="s">
        <v>128</v>
      </c>
      <c r="E8" s="1005"/>
      <c r="F8" s="1006" t="s">
        <v>129</v>
      </c>
      <c r="G8" s="1007"/>
      <c r="H8" s="337"/>
    </row>
    <row r="9" spans="1:14" ht="15">
      <c r="A9" s="181" t="s">
        <v>72</v>
      </c>
      <c r="B9" s="182" t="s">
        <v>130</v>
      </c>
      <c r="C9" s="183" t="s">
        <v>79</v>
      </c>
      <c r="D9" s="182" t="s">
        <v>130</v>
      </c>
      <c r="E9" s="183" t="s">
        <v>79</v>
      </c>
      <c r="F9" s="184" t="s">
        <v>130</v>
      </c>
      <c r="G9" s="185" t="s">
        <v>79</v>
      </c>
      <c r="H9" s="337"/>
    </row>
    <row r="10" spans="1:14" ht="19.899999999999999" customHeight="1">
      <c r="A10" s="186" t="s">
        <v>120</v>
      </c>
      <c r="B10" s="187">
        <v>44854</v>
      </c>
      <c r="C10" s="188">
        <v>14006099278.740002</v>
      </c>
      <c r="D10" s="187">
        <v>515533</v>
      </c>
      <c r="E10" s="188">
        <v>2886253456.5599999</v>
      </c>
      <c r="F10" s="187">
        <v>560387</v>
      </c>
      <c r="G10" s="189">
        <v>16892352735.300001</v>
      </c>
      <c r="I10" s="347"/>
    </row>
    <row r="11" spans="1:14" ht="15">
      <c r="A11" s="190"/>
      <c r="B11" s="191"/>
      <c r="C11" s="192"/>
      <c r="D11" s="191"/>
      <c r="E11" s="192"/>
      <c r="F11" s="191"/>
      <c r="G11" s="193"/>
      <c r="J11" s="974"/>
      <c r="K11" s="1105"/>
      <c r="L11" s="974"/>
      <c r="M11" s="974"/>
      <c r="N11" s="974"/>
    </row>
    <row r="12" spans="1:14" ht="15">
      <c r="A12" s="190" t="s">
        <v>59</v>
      </c>
      <c r="B12" s="194">
        <v>8797</v>
      </c>
      <c r="C12" s="195">
        <v>58710727.890000001</v>
      </c>
      <c r="D12" s="194">
        <v>387658</v>
      </c>
      <c r="E12" s="195">
        <v>332414402.29000002</v>
      </c>
      <c r="F12" s="194">
        <v>396455</v>
      </c>
      <c r="G12" s="196">
        <v>391125130.18000001</v>
      </c>
      <c r="J12" s="974"/>
      <c r="K12" s="974"/>
      <c r="L12" s="974"/>
      <c r="M12" s="974"/>
      <c r="N12" s="974"/>
    </row>
    <row r="13" spans="1:14" ht="15" customHeight="1">
      <c r="A13" s="197" t="s">
        <v>82</v>
      </c>
      <c r="B13" s="191">
        <v>1258</v>
      </c>
      <c r="C13" s="198">
        <v>13248910.310000001</v>
      </c>
      <c r="D13" s="191">
        <v>206026</v>
      </c>
      <c r="E13" s="198">
        <v>144027435.56</v>
      </c>
      <c r="F13" s="191">
        <v>207284</v>
      </c>
      <c r="G13" s="198">
        <v>157276345.87</v>
      </c>
      <c r="I13" s="347"/>
      <c r="J13" s="974"/>
      <c r="K13" s="974"/>
      <c r="L13" s="974"/>
      <c r="M13" s="974"/>
      <c r="N13" s="974"/>
    </row>
    <row r="14" spans="1:14" ht="15">
      <c r="A14" s="197" t="s">
        <v>83</v>
      </c>
      <c r="B14" s="191">
        <v>573</v>
      </c>
      <c r="C14" s="198">
        <v>3464003.3</v>
      </c>
      <c r="D14" s="191">
        <v>130675</v>
      </c>
      <c r="E14" s="198">
        <v>109511471.29000001</v>
      </c>
      <c r="F14" s="191">
        <v>131248</v>
      </c>
      <c r="G14" s="198">
        <v>112975474.59</v>
      </c>
      <c r="J14" s="974"/>
      <c r="K14" s="974"/>
      <c r="L14" s="974"/>
      <c r="M14" s="974"/>
      <c r="N14" s="974"/>
    </row>
    <row r="15" spans="1:14" ht="15">
      <c r="A15" s="197" t="s">
        <v>84</v>
      </c>
      <c r="B15" s="191">
        <v>266</v>
      </c>
      <c r="C15" s="198">
        <v>1632348.71</v>
      </c>
      <c r="D15" s="191">
        <v>33520</v>
      </c>
      <c r="E15" s="198">
        <v>53408399.009999998</v>
      </c>
      <c r="F15" s="191">
        <v>33786</v>
      </c>
      <c r="G15" s="198">
        <v>55040747.719999999</v>
      </c>
      <c r="J15" s="974"/>
      <c r="K15" s="974"/>
      <c r="L15" s="974"/>
      <c r="M15" s="974"/>
      <c r="N15" s="974"/>
    </row>
    <row r="16" spans="1:14" ht="15">
      <c r="A16" s="197" t="s">
        <v>85</v>
      </c>
      <c r="B16" s="191">
        <v>68</v>
      </c>
      <c r="C16" s="198">
        <v>142542.23000000001</v>
      </c>
      <c r="D16" s="191">
        <v>14438</v>
      </c>
      <c r="E16" s="198">
        <v>21563976.5</v>
      </c>
      <c r="F16" s="191">
        <v>14506</v>
      </c>
      <c r="G16" s="198">
        <v>21706518.73</v>
      </c>
      <c r="J16" s="974"/>
      <c r="K16" s="974"/>
      <c r="L16" s="974"/>
      <c r="M16" s="974"/>
      <c r="N16" s="974"/>
    </row>
    <row r="17" spans="1:14" ht="15">
      <c r="A17" s="197" t="s">
        <v>86</v>
      </c>
      <c r="B17" s="191">
        <v>6439</v>
      </c>
      <c r="C17" s="198">
        <v>38840856.149999999</v>
      </c>
      <c r="D17" s="191">
        <v>13</v>
      </c>
      <c r="E17" s="198">
        <v>25387.77</v>
      </c>
      <c r="F17" s="191">
        <v>6452</v>
      </c>
      <c r="G17" s="198">
        <v>38866243.920000002</v>
      </c>
      <c r="J17" s="974"/>
      <c r="K17" s="974"/>
      <c r="L17" s="974"/>
      <c r="M17" s="974"/>
      <c r="N17" s="974"/>
    </row>
    <row r="18" spans="1:14" ht="15">
      <c r="A18" s="197" t="s">
        <v>87</v>
      </c>
      <c r="B18" s="191">
        <v>193</v>
      </c>
      <c r="C18" s="198">
        <v>1382067.19</v>
      </c>
      <c r="D18" s="191">
        <v>2986</v>
      </c>
      <c r="E18" s="198">
        <v>3877732.16</v>
      </c>
      <c r="F18" s="191">
        <v>3179</v>
      </c>
      <c r="G18" s="198">
        <v>5259799.3499999996</v>
      </c>
      <c r="J18" s="974"/>
      <c r="K18" s="974"/>
      <c r="L18" s="974"/>
      <c r="M18" s="974"/>
      <c r="N18" s="974"/>
    </row>
    <row r="19" spans="1:14" ht="15">
      <c r="A19" s="190"/>
      <c r="B19" s="200"/>
      <c r="C19" s="201"/>
      <c r="D19" s="200"/>
      <c r="E19" s="201"/>
      <c r="F19" s="191"/>
      <c r="G19" s="193"/>
      <c r="J19" s="974"/>
      <c r="K19" s="974"/>
      <c r="L19" s="974"/>
      <c r="M19" s="974"/>
      <c r="N19" s="974"/>
    </row>
    <row r="20" spans="1:14" ht="15">
      <c r="A20" s="190" t="s">
        <v>60</v>
      </c>
      <c r="B20" s="194">
        <v>10043</v>
      </c>
      <c r="C20" s="195">
        <v>1951700993.9800003</v>
      </c>
      <c r="D20" s="194">
        <v>110034</v>
      </c>
      <c r="E20" s="195">
        <v>1649507618.9000001</v>
      </c>
      <c r="F20" s="194">
        <v>120077</v>
      </c>
      <c r="G20" s="196">
        <v>3601208612.8800001</v>
      </c>
      <c r="H20" s="1102"/>
      <c r="J20" s="974"/>
      <c r="K20" s="974"/>
      <c r="L20" s="974"/>
      <c r="M20" s="974"/>
      <c r="N20" s="974"/>
    </row>
    <row r="21" spans="1:14" ht="15">
      <c r="A21" s="197" t="s">
        <v>88</v>
      </c>
      <c r="B21" s="191">
        <v>2838</v>
      </c>
      <c r="C21" s="198">
        <v>1334216044.9000001</v>
      </c>
      <c r="D21" s="191">
        <v>3377</v>
      </c>
      <c r="E21" s="198">
        <v>713521905.66999996</v>
      </c>
      <c r="F21" s="191">
        <v>6215</v>
      </c>
      <c r="G21" s="198">
        <v>2047737950.5700002</v>
      </c>
      <c r="H21" s="1102"/>
      <c r="I21" s="347"/>
      <c r="J21" s="974"/>
      <c r="K21" s="974"/>
      <c r="L21" s="974"/>
      <c r="M21" s="974"/>
      <c r="N21" s="974"/>
    </row>
    <row r="22" spans="1:14" ht="15">
      <c r="A22" s="197" t="s">
        <v>89</v>
      </c>
      <c r="B22" s="191">
        <v>235</v>
      </c>
      <c r="C22" s="198">
        <v>379222246.91000003</v>
      </c>
      <c r="D22" s="191">
        <v>4570</v>
      </c>
      <c r="E22" s="198">
        <v>119684278.58</v>
      </c>
      <c r="F22" s="191">
        <v>4805</v>
      </c>
      <c r="G22" s="198">
        <v>498906525.49000001</v>
      </c>
      <c r="I22" s="347"/>
      <c r="J22" s="974"/>
      <c r="K22" s="974"/>
      <c r="L22" s="974"/>
      <c r="M22" s="974"/>
      <c r="N22" s="974"/>
    </row>
    <row r="23" spans="1:14" ht="15">
      <c r="A23" s="197" t="s">
        <v>85</v>
      </c>
      <c r="B23" s="191">
        <v>5771</v>
      </c>
      <c r="C23" s="198">
        <v>106361937.7</v>
      </c>
      <c r="D23" s="191">
        <v>85058</v>
      </c>
      <c r="E23" s="198">
        <v>435760596.19</v>
      </c>
      <c r="F23" s="191">
        <v>90829</v>
      </c>
      <c r="G23" s="198">
        <v>542122533.88999999</v>
      </c>
      <c r="I23" s="347"/>
      <c r="J23" s="974"/>
      <c r="K23" s="974"/>
      <c r="L23" s="974"/>
      <c r="M23" s="974"/>
      <c r="N23" s="974"/>
    </row>
    <row r="24" spans="1:14" ht="15">
      <c r="A24" s="197" t="s">
        <v>90</v>
      </c>
      <c r="B24" s="191">
        <v>94</v>
      </c>
      <c r="C24" s="198">
        <v>96630586.959999993</v>
      </c>
      <c r="D24" s="191">
        <v>237</v>
      </c>
      <c r="E24" s="198">
        <v>205092631.06999999</v>
      </c>
      <c r="F24" s="191">
        <v>331</v>
      </c>
      <c r="G24" s="198">
        <v>301723218.02999997</v>
      </c>
      <c r="J24" s="974"/>
      <c r="K24" s="974"/>
      <c r="L24" s="974"/>
      <c r="M24" s="974"/>
      <c r="N24" s="974"/>
    </row>
    <row r="25" spans="1:14" ht="15">
      <c r="A25" s="197" t="s">
        <v>91</v>
      </c>
      <c r="B25" s="191">
        <v>12</v>
      </c>
      <c r="C25" s="198">
        <v>10196308.58</v>
      </c>
      <c r="D25" s="191">
        <v>246</v>
      </c>
      <c r="E25" s="198">
        <v>33974737.880000003</v>
      </c>
      <c r="F25" s="191">
        <v>258</v>
      </c>
      <c r="G25" s="198">
        <v>44171046.460000001</v>
      </c>
      <c r="J25" s="974"/>
      <c r="K25" s="974"/>
      <c r="L25" s="974"/>
      <c r="M25" s="974"/>
      <c r="N25" s="974"/>
    </row>
    <row r="26" spans="1:14" ht="15">
      <c r="A26" s="197" t="s">
        <v>131</v>
      </c>
      <c r="B26" s="191">
        <v>957</v>
      </c>
      <c r="C26" s="198">
        <v>22724871.629999999</v>
      </c>
      <c r="D26" s="191">
        <v>7602</v>
      </c>
      <c r="E26" s="198">
        <v>93768828.689999998</v>
      </c>
      <c r="F26" s="191">
        <v>8559</v>
      </c>
      <c r="G26" s="198">
        <v>116493700.31999999</v>
      </c>
      <c r="I26" s="347"/>
      <c r="J26" s="974"/>
      <c r="K26" s="974"/>
      <c r="L26" s="974"/>
      <c r="M26" s="974"/>
      <c r="N26" s="974"/>
    </row>
    <row r="27" spans="1:14" ht="15">
      <c r="A27" s="197" t="s">
        <v>132</v>
      </c>
      <c r="B27" s="191">
        <v>38</v>
      </c>
      <c r="C27" s="198">
        <v>1063134.78</v>
      </c>
      <c r="D27" s="191">
        <v>1505</v>
      </c>
      <c r="E27" s="198">
        <v>4613906.8499999996</v>
      </c>
      <c r="F27" s="191">
        <v>1543</v>
      </c>
      <c r="G27" s="198">
        <v>5677041.6299999999</v>
      </c>
      <c r="I27" s="347"/>
      <c r="J27" s="974"/>
      <c r="K27" s="974"/>
      <c r="L27" s="974"/>
      <c r="M27" s="974"/>
      <c r="N27" s="974"/>
    </row>
    <row r="28" spans="1:14" ht="15">
      <c r="A28" s="197" t="s">
        <v>133</v>
      </c>
      <c r="B28" s="191">
        <v>97</v>
      </c>
      <c r="C28" s="198">
        <v>1221643.99</v>
      </c>
      <c r="D28" s="191">
        <v>7394</v>
      </c>
      <c r="E28" s="198">
        <v>42849502.219999999</v>
      </c>
      <c r="F28" s="191">
        <v>7491</v>
      </c>
      <c r="G28" s="198">
        <v>44071146.210000001</v>
      </c>
      <c r="I28" s="347"/>
      <c r="J28" s="974"/>
      <c r="K28" s="974"/>
      <c r="L28" s="974"/>
      <c r="M28" s="974"/>
      <c r="N28" s="974"/>
    </row>
    <row r="29" spans="1:14" ht="15">
      <c r="A29" s="197" t="s">
        <v>134</v>
      </c>
      <c r="B29" s="191">
        <v>1</v>
      </c>
      <c r="C29" s="198">
        <v>64218.53</v>
      </c>
      <c r="D29" s="191">
        <v>45</v>
      </c>
      <c r="E29" s="198">
        <v>241231.75</v>
      </c>
      <c r="F29" s="191">
        <v>46</v>
      </c>
      <c r="G29" s="198">
        <v>305450.28000000003</v>
      </c>
      <c r="J29" s="974"/>
      <c r="K29" s="974"/>
      <c r="L29" s="974"/>
      <c r="M29" s="974"/>
      <c r="N29" s="974"/>
    </row>
    <row r="30" spans="1:14" ht="15">
      <c r="A30" s="190"/>
      <c r="B30" s="200"/>
      <c r="C30" s="201"/>
      <c r="D30" s="200"/>
      <c r="E30" s="201"/>
      <c r="F30" s="191"/>
      <c r="G30" s="193"/>
      <c r="J30" s="974"/>
      <c r="K30" s="974"/>
      <c r="L30" s="974"/>
      <c r="M30" s="974"/>
      <c r="N30" s="974"/>
    </row>
    <row r="31" spans="1:14" ht="15">
      <c r="A31" s="190" t="s">
        <v>61</v>
      </c>
      <c r="B31" s="194">
        <v>70</v>
      </c>
      <c r="C31" s="195">
        <v>86560180.939999998</v>
      </c>
      <c r="D31" s="194">
        <v>20</v>
      </c>
      <c r="E31" s="195">
        <v>37663149.57</v>
      </c>
      <c r="F31" s="194">
        <v>90</v>
      </c>
      <c r="G31" s="196">
        <v>124223330.50999999</v>
      </c>
      <c r="J31" s="974"/>
      <c r="K31" s="974"/>
      <c r="L31" s="974"/>
      <c r="M31" s="974"/>
      <c r="N31" s="974"/>
    </row>
    <row r="32" spans="1:14" ht="15">
      <c r="A32" s="190"/>
      <c r="B32" s="200"/>
      <c r="C32" s="201"/>
      <c r="D32" s="200"/>
      <c r="E32" s="201"/>
      <c r="F32" s="191"/>
      <c r="G32" s="193"/>
      <c r="J32" s="974"/>
      <c r="K32" s="974"/>
      <c r="L32" s="974"/>
      <c r="M32" s="974"/>
      <c r="N32" s="974"/>
    </row>
    <row r="33" spans="1:14" ht="15">
      <c r="A33" s="190" t="s">
        <v>62</v>
      </c>
      <c r="B33" s="202">
        <v>25944</v>
      </c>
      <c r="C33" s="203">
        <v>11909127375.93</v>
      </c>
      <c r="D33" s="202">
        <v>17821</v>
      </c>
      <c r="E33" s="203">
        <v>866668285.80000007</v>
      </c>
      <c r="F33" s="194">
        <v>43765</v>
      </c>
      <c r="G33" s="196">
        <v>12775795661.73</v>
      </c>
      <c r="J33" s="974"/>
      <c r="K33" s="974"/>
      <c r="L33" s="974"/>
      <c r="M33" s="974"/>
      <c r="N33" s="974"/>
    </row>
    <row r="34" spans="1:14" ht="15">
      <c r="A34" s="197" t="s">
        <v>98</v>
      </c>
      <c r="B34" s="191">
        <v>398</v>
      </c>
      <c r="C34" s="198">
        <v>858089945.45000005</v>
      </c>
      <c r="D34" s="191">
        <v>744</v>
      </c>
      <c r="E34" s="198">
        <v>152080032.86000001</v>
      </c>
      <c r="F34" s="191">
        <v>1142</v>
      </c>
      <c r="G34" s="198">
        <v>1010169978.3100001</v>
      </c>
      <c r="J34" s="974"/>
      <c r="K34" s="974"/>
      <c r="L34" s="974"/>
      <c r="M34" s="974"/>
      <c r="N34" s="974"/>
    </row>
    <row r="35" spans="1:14" ht="15">
      <c r="A35" s="197" t="s">
        <v>101</v>
      </c>
      <c r="B35" s="191">
        <v>122</v>
      </c>
      <c r="C35" s="198">
        <v>52515071.210000001</v>
      </c>
      <c r="D35" s="191">
        <v>1653</v>
      </c>
      <c r="E35" s="198">
        <v>120679766.37</v>
      </c>
      <c r="F35" s="191">
        <v>1775</v>
      </c>
      <c r="G35" s="198">
        <v>173194837.58000001</v>
      </c>
      <c r="J35" s="974"/>
      <c r="K35" s="974"/>
      <c r="L35" s="974"/>
      <c r="M35" s="974"/>
      <c r="N35" s="974"/>
    </row>
    <row r="36" spans="1:14" ht="15">
      <c r="A36" s="197" t="s">
        <v>100</v>
      </c>
      <c r="B36" s="191">
        <v>8</v>
      </c>
      <c r="C36" s="198">
        <v>1242725.21</v>
      </c>
      <c r="D36" s="191">
        <v>23</v>
      </c>
      <c r="E36" s="198">
        <v>4261814.6399999997</v>
      </c>
      <c r="F36" s="191">
        <v>31</v>
      </c>
      <c r="G36" s="198">
        <v>5504539.8499999996</v>
      </c>
      <c r="J36" s="974"/>
      <c r="K36" s="974"/>
      <c r="L36" s="974"/>
      <c r="M36" s="974"/>
      <c r="N36" s="974"/>
    </row>
    <row r="37" spans="1:14" ht="15">
      <c r="A37" s="197" t="s">
        <v>118</v>
      </c>
      <c r="B37" s="191">
        <v>6337</v>
      </c>
      <c r="C37" s="198">
        <v>2096473060.3</v>
      </c>
      <c r="D37" s="191">
        <v>29</v>
      </c>
      <c r="E37" s="198">
        <v>50995393.490000002</v>
      </c>
      <c r="F37" s="191">
        <v>6366</v>
      </c>
      <c r="G37" s="198">
        <v>2147468453.79</v>
      </c>
      <c r="J37" s="974"/>
      <c r="K37" s="974"/>
      <c r="L37" s="974"/>
      <c r="M37" s="974"/>
      <c r="N37" s="974"/>
    </row>
    <row r="38" spans="1:14" ht="15">
      <c r="A38" s="197" t="s">
        <v>114</v>
      </c>
      <c r="B38" s="191">
        <v>65</v>
      </c>
      <c r="C38" s="198">
        <v>76175856.909999996</v>
      </c>
      <c r="D38" s="191">
        <v>161</v>
      </c>
      <c r="E38" s="198">
        <v>85923536.769999996</v>
      </c>
      <c r="F38" s="191">
        <v>226</v>
      </c>
      <c r="G38" s="198">
        <v>162099393.68000001</v>
      </c>
      <c r="J38" s="974"/>
      <c r="K38" s="974"/>
      <c r="L38" s="974"/>
      <c r="M38" s="974"/>
      <c r="N38" s="974"/>
    </row>
    <row r="39" spans="1:14" ht="15">
      <c r="A39" s="197" t="s">
        <v>103</v>
      </c>
      <c r="B39" s="108">
        <v>178</v>
      </c>
      <c r="C39" s="198">
        <v>32185805.879999999</v>
      </c>
      <c r="D39" s="191">
        <v>327</v>
      </c>
      <c r="E39" s="198">
        <v>14213764.41</v>
      </c>
      <c r="F39" s="191">
        <v>505</v>
      </c>
      <c r="G39" s="198">
        <v>46399570.289999999</v>
      </c>
      <c r="J39" s="974"/>
      <c r="K39" s="974"/>
      <c r="L39" s="974"/>
      <c r="M39" s="974"/>
      <c r="N39" s="974"/>
    </row>
    <row r="40" spans="1:14" ht="15">
      <c r="A40" s="197" t="s">
        <v>135</v>
      </c>
      <c r="B40" s="191">
        <v>971</v>
      </c>
      <c r="C40" s="198">
        <v>415538126.52999997</v>
      </c>
      <c r="D40" s="191">
        <v>13051</v>
      </c>
      <c r="E40" s="198">
        <v>191692184.59</v>
      </c>
      <c r="F40" s="191">
        <v>14022</v>
      </c>
      <c r="G40" s="198">
        <v>607230311.12</v>
      </c>
      <c r="J40" s="974"/>
      <c r="K40" s="974"/>
      <c r="L40" s="974"/>
      <c r="M40" s="974"/>
      <c r="N40" s="974"/>
    </row>
    <row r="41" spans="1:14" ht="15">
      <c r="A41" s="197" t="s">
        <v>108</v>
      </c>
      <c r="B41" s="191">
        <v>1226</v>
      </c>
      <c r="C41" s="198">
        <v>81539059.180000007</v>
      </c>
      <c r="D41" s="191">
        <v>317</v>
      </c>
      <c r="E41" s="198">
        <v>12517113.35</v>
      </c>
      <c r="F41" s="191">
        <v>1543</v>
      </c>
      <c r="G41" s="198">
        <v>94056172.530000001</v>
      </c>
      <c r="J41" s="974"/>
      <c r="K41" s="974"/>
      <c r="L41" s="974"/>
      <c r="M41" s="974"/>
      <c r="N41" s="974"/>
    </row>
    <row r="42" spans="1:14" ht="15">
      <c r="A42" s="197" t="s">
        <v>104</v>
      </c>
      <c r="B42" s="191">
        <v>218</v>
      </c>
      <c r="C42" s="198">
        <v>41332280.880000003</v>
      </c>
      <c r="D42" s="191">
        <v>729</v>
      </c>
      <c r="E42" s="198">
        <v>43250070.770000003</v>
      </c>
      <c r="F42" s="191">
        <v>947</v>
      </c>
      <c r="G42" s="198">
        <v>84582351.650000006</v>
      </c>
      <c r="J42" s="974"/>
      <c r="K42" s="974"/>
      <c r="L42" s="974"/>
      <c r="M42" s="974"/>
      <c r="N42" s="974"/>
    </row>
    <row r="43" spans="1:14" ht="15">
      <c r="A43" s="197" t="s">
        <v>86</v>
      </c>
      <c r="B43" s="191">
        <v>3021</v>
      </c>
      <c r="C43" s="198">
        <v>946123602.69000006</v>
      </c>
      <c r="D43" s="191">
        <v>16</v>
      </c>
      <c r="E43" s="198">
        <v>636105.82999999996</v>
      </c>
      <c r="F43" s="191">
        <v>3037</v>
      </c>
      <c r="G43" s="198">
        <v>946759708.5200001</v>
      </c>
      <c r="J43" s="974"/>
      <c r="K43" s="974"/>
      <c r="L43" s="974"/>
      <c r="M43" s="974"/>
      <c r="N43" s="974"/>
    </row>
    <row r="44" spans="1:14" ht="15">
      <c r="A44" s="197" t="s">
        <v>136</v>
      </c>
      <c r="B44" s="191">
        <v>2969</v>
      </c>
      <c r="C44" s="198">
        <v>2975568528.1999998</v>
      </c>
      <c r="D44" s="191">
        <v>241</v>
      </c>
      <c r="E44" s="198">
        <v>102380915.12</v>
      </c>
      <c r="F44" s="191">
        <v>3210</v>
      </c>
      <c r="G44" s="198">
        <v>3077949443.3199997</v>
      </c>
      <c r="J44" s="974"/>
      <c r="K44" s="974"/>
      <c r="L44" s="974"/>
      <c r="M44" s="974"/>
      <c r="N44" s="974"/>
    </row>
    <row r="45" spans="1:14" ht="14.25">
      <c r="A45" s="197" t="s">
        <v>111</v>
      </c>
      <c r="B45" s="191">
        <v>46</v>
      </c>
      <c r="C45" s="198">
        <v>22771797.789999999</v>
      </c>
      <c r="D45" s="191">
        <v>28</v>
      </c>
      <c r="E45" s="198">
        <v>3066631.51</v>
      </c>
      <c r="F45" s="191">
        <v>74</v>
      </c>
      <c r="G45" s="198">
        <v>25838429.299999997</v>
      </c>
    </row>
    <row r="46" spans="1:14" ht="14.25">
      <c r="A46" s="197" t="s">
        <v>137</v>
      </c>
      <c r="B46" s="191">
        <v>2670</v>
      </c>
      <c r="C46" s="198">
        <v>1799753095</v>
      </c>
      <c r="D46" s="191">
        <v>79</v>
      </c>
      <c r="E46" s="198">
        <v>22612138.850000001</v>
      </c>
      <c r="F46" s="191">
        <v>2749</v>
      </c>
      <c r="G46" s="198">
        <v>1822365233.8499999</v>
      </c>
    </row>
    <row r="47" spans="1:14" ht="14.25">
      <c r="A47" s="204" t="s">
        <v>87</v>
      </c>
      <c r="B47" s="205">
        <v>7715</v>
      </c>
      <c r="C47" s="206">
        <v>2509818420.6999998</v>
      </c>
      <c r="D47" s="205">
        <v>423</v>
      </c>
      <c r="E47" s="206">
        <v>62358817.240000002</v>
      </c>
      <c r="F47" s="205">
        <v>8138</v>
      </c>
      <c r="G47" s="206">
        <v>2572177237.9399996</v>
      </c>
    </row>
    <row r="48" spans="1:14" ht="15">
      <c r="A48" s="207"/>
    </row>
    <row r="49" spans="1:7" ht="15">
      <c r="A49" s="209"/>
    </row>
    <row r="50" spans="1:7" ht="15">
      <c r="A50" s="209"/>
      <c r="B50" s="210"/>
      <c r="C50" s="210"/>
      <c r="D50" s="210"/>
      <c r="E50" s="210"/>
    </row>
    <row r="53" spans="1:7">
      <c r="A53" s="1106"/>
    </row>
    <row r="54" spans="1:7">
      <c r="A54" s="1107"/>
      <c r="B54" s="211"/>
      <c r="C54" s="211"/>
      <c r="D54" s="211"/>
      <c r="E54" s="211"/>
      <c r="F54" s="211"/>
      <c r="G54" s="211"/>
    </row>
    <row r="55" spans="1:7" ht="15">
      <c r="A55" s="1108"/>
      <c r="B55" s="1109"/>
      <c r="C55" s="1109"/>
      <c r="D55" s="1109"/>
      <c r="E55" s="1109"/>
    </row>
    <row r="56" spans="1:7" ht="15">
      <c r="A56" s="1108"/>
      <c r="B56" s="1110"/>
      <c r="C56" s="1110"/>
      <c r="D56" s="1110"/>
      <c r="E56" s="1110"/>
    </row>
    <row r="57" spans="1:7" ht="15">
      <c r="A57" s="1111"/>
      <c r="B57" s="1112"/>
      <c r="C57" s="1112"/>
      <c r="D57" s="1112"/>
      <c r="E57" s="1112"/>
    </row>
    <row r="58" spans="1:7" s="212" customFormat="1" ht="15">
      <c r="A58" s="1111"/>
      <c r="B58" s="1112"/>
      <c r="C58" s="1112"/>
      <c r="D58" s="1112"/>
      <c r="E58" s="1112"/>
    </row>
    <row r="59" spans="1:7" s="212" customFormat="1" ht="15">
      <c r="A59" s="1111"/>
      <c r="B59" s="210"/>
      <c r="C59" s="210"/>
      <c r="D59" s="210"/>
      <c r="E59" s="210"/>
    </row>
    <row r="60" spans="1:7" ht="15">
      <c r="A60" s="1111"/>
      <c r="B60" s="210"/>
      <c r="C60" s="210"/>
      <c r="D60" s="210"/>
      <c r="E60" s="210"/>
    </row>
    <row r="61" spans="1:7" ht="15">
      <c r="A61" s="1111"/>
      <c r="B61" s="210"/>
      <c r="C61" s="210"/>
      <c r="D61" s="210"/>
      <c r="E61" s="210"/>
    </row>
    <row r="62" spans="1:7" ht="15">
      <c r="A62" s="1111"/>
      <c r="B62" s="210"/>
      <c r="C62" s="210"/>
      <c r="D62" s="210"/>
      <c r="E62" s="210"/>
    </row>
    <row r="63" spans="1:7" ht="15">
      <c r="A63" s="1111"/>
      <c r="B63" s="210"/>
      <c r="C63" s="210"/>
      <c r="D63" s="210"/>
      <c r="E63" s="210"/>
    </row>
    <row r="64" spans="1:7" ht="15">
      <c r="A64" s="1111"/>
      <c r="B64" s="210"/>
      <c r="C64" s="210"/>
      <c r="D64" s="210"/>
      <c r="E64" s="210"/>
    </row>
    <row r="65" spans="1:5" ht="15">
      <c r="A65" s="1111"/>
      <c r="B65" s="210"/>
      <c r="C65" s="210"/>
      <c r="D65" s="210"/>
      <c r="E65" s="210"/>
    </row>
    <row r="66" spans="1:5" ht="15">
      <c r="A66" s="1111"/>
      <c r="B66" s="210"/>
      <c r="C66" s="210"/>
      <c r="D66" s="210"/>
      <c r="E66" s="210"/>
    </row>
    <row r="67" spans="1:5" ht="15">
      <c r="A67" s="1111"/>
      <c r="B67" s="210"/>
      <c r="C67" s="210"/>
      <c r="D67" s="210"/>
      <c r="E67" s="210"/>
    </row>
    <row r="68" spans="1:5" ht="15">
      <c r="A68" s="1111"/>
      <c r="B68" s="210"/>
      <c r="C68" s="210"/>
      <c r="D68" s="210"/>
      <c r="E68" s="210"/>
    </row>
    <row r="69" spans="1:5" ht="15">
      <c r="A69" s="1111"/>
      <c r="B69" s="210"/>
      <c r="C69" s="210"/>
      <c r="D69" s="210"/>
      <c r="E69" s="210"/>
    </row>
    <row r="70" spans="1:5" ht="15">
      <c r="A70" s="1111"/>
      <c r="B70" s="210"/>
      <c r="C70" s="210"/>
      <c r="D70" s="210"/>
      <c r="E70" s="210"/>
    </row>
    <row r="71" spans="1:5" ht="15">
      <c r="A71" s="1111"/>
      <c r="B71" s="210"/>
      <c r="C71" s="210"/>
      <c r="D71" s="210"/>
      <c r="E71" s="210"/>
    </row>
    <row r="72" spans="1:5" ht="15">
      <c r="A72" s="1111"/>
      <c r="B72" s="210"/>
      <c r="C72" s="210"/>
      <c r="D72" s="210"/>
      <c r="E72" s="210"/>
    </row>
    <row r="73" spans="1:5" ht="15">
      <c r="A73" s="1111"/>
      <c r="B73" s="210"/>
      <c r="C73" s="210"/>
      <c r="D73" s="210"/>
      <c r="E73" s="210"/>
    </row>
    <row r="74" spans="1:5" ht="15">
      <c r="A74" s="1111"/>
      <c r="B74" s="210"/>
      <c r="C74" s="210"/>
      <c r="D74" s="210"/>
      <c r="E74" s="210"/>
    </row>
    <row r="75" spans="1:5" ht="15">
      <c r="A75" s="1111"/>
      <c r="B75" s="210"/>
      <c r="C75" s="210"/>
      <c r="D75" s="210"/>
      <c r="E75" s="210"/>
    </row>
    <row r="76" spans="1:5" ht="15">
      <c r="A76" s="1111"/>
      <c r="B76" s="210"/>
      <c r="C76" s="210"/>
      <c r="D76" s="210"/>
      <c r="E76" s="210"/>
    </row>
    <row r="77" spans="1:5" ht="15">
      <c r="A77" s="1111"/>
      <c r="B77" s="210"/>
      <c r="C77" s="210"/>
      <c r="D77" s="210"/>
      <c r="E77" s="210"/>
    </row>
    <row r="78" spans="1:5" ht="15">
      <c r="A78" s="1111"/>
      <c r="B78" s="210"/>
      <c r="C78" s="210"/>
      <c r="D78" s="210"/>
      <c r="E78" s="210"/>
    </row>
    <row r="79" spans="1:5" ht="15">
      <c r="A79" s="1111"/>
      <c r="B79" s="210"/>
      <c r="C79" s="210"/>
      <c r="D79" s="210"/>
      <c r="E79" s="210"/>
    </row>
    <row r="80" spans="1:5" ht="15">
      <c r="A80" s="1111"/>
      <c r="B80" s="210"/>
      <c r="C80" s="210"/>
      <c r="D80" s="210"/>
      <c r="E80" s="210"/>
    </row>
    <row r="81" spans="1:5" ht="15">
      <c r="A81" s="1111"/>
      <c r="B81" s="210"/>
      <c r="C81" s="210"/>
      <c r="D81" s="210"/>
      <c r="E81" s="210"/>
    </row>
    <row r="82" spans="1:5" ht="15">
      <c r="A82" s="1111"/>
      <c r="B82" s="210"/>
      <c r="C82" s="210"/>
      <c r="D82" s="210"/>
      <c r="E82" s="210"/>
    </row>
    <row r="83" spans="1:5" ht="15">
      <c r="A83" s="1111"/>
      <c r="B83" s="210"/>
      <c r="C83" s="210"/>
      <c r="D83" s="210"/>
      <c r="E83" s="210"/>
    </row>
    <row r="84" spans="1:5" ht="15">
      <c r="A84" s="1111"/>
      <c r="B84" s="210"/>
      <c r="C84" s="210"/>
      <c r="D84" s="210"/>
      <c r="E84" s="210"/>
    </row>
    <row r="85" spans="1:5" ht="15">
      <c r="A85" s="1111"/>
      <c r="B85" s="210"/>
      <c r="C85" s="210"/>
      <c r="D85" s="210"/>
      <c r="E85" s="210"/>
    </row>
    <row r="86" spans="1:5" ht="15">
      <c r="A86" s="1111"/>
      <c r="B86" s="210"/>
      <c r="C86" s="210"/>
      <c r="D86" s="210"/>
      <c r="E86" s="210"/>
    </row>
    <row r="87" spans="1:5" ht="15">
      <c r="A87" s="1111"/>
      <c r="B87" s="210"/>
      <c r="C87" s="210"/>
      <c r="D87" s="210"/>
      <c r="E87" s="210"/>
    </row>
    <row r="88" spans="1:5" ht="15">
      <c r="A88" s="1111"/>
      <c r="B88" s="210"/>
      <c r="C88" s="210"/>
      <c r="D88" s="210"/>
      <c r="E88" s="210"/>
    </row>
    <row r="89" spans="1:5" ht="15">
      <c r="A89" s="1111"/>
      <c r="B89" s="210"/>
      <c r="C89" s="210"/>
      <c r="D89" s="210"/>
      <c r="E89" s="210"/>
    </row>
  </sheetData>
  <mergeCells count="15">
    <mergeCell ref="B8:C8"/>
    <mergeCell ref="D8:E8"/>
    <mergeCell ref="F8:G8"/>
    <mergeCell ref="A1:G1"/>
    <mergeCell ref="A2:G2"/>
    <mergeCell ref="A3:G3"/>
    <mergeCell ref="A4:G4"/>
    <mergeCell ref="A6:G6"/>
    <mergeCell ref="A55:A56"/>
    <mergeCell ref="B55:C55"/>
    <mergeCell ref="D55:E55"/>
    <mergeCell ref="B57:B58"/>
    <mergeCell ref="C57:C58"/>
    <mergeCell ref="D57:D58"/>
    <mergeCell ref="E57:E58"/>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1734077-2BF6-4DD2-9321-15040904BF73}"/>
</file>

<file path=customXml/itemProps2.xml><?xml version="1.0" encoding="utf-8"?>
<ds:datastoreItem xmlns:ds="http://schemas.openxmlformats.org/officeDocument/2006/customXml" ds:itemID="{A0A9B3AA-66AE-44C4-8AB0-2F24C092C796}"/>
</file>

<file path=customXml/itemProps3.xml><?xml version="1.0" encoding="utf-8"?>
<ds:datastoreItem xmlns:ds="http://schemas.openxmlformats.org/officeDocument/2006/customXml" ds:itemID="{9D4F7AEB-39C8-4F00-B7F2-1122B5AB284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40</vt:i4>
      </vt:variant>
    </vt:vector>
  </HeadingPairs>
  <TitlesOfParts>
    <vt:vector size="40" baseType="lpstr">
      <vt:lpstr>Table of Contents</vt:lpstr>
      <vt:lpstr>"Fast Facts"</vt:lpstr>
      <vt:lpstr>Table 1 - Citywide</vt:lpstr>
      <vt:lpstr>Table 1 - Manhattan</vt:lpstr>
      <vt:lpstr>Table 1 - Bronx</vt:lpstr>
      <vt:lpstr>Table 1 - Brooklyn</vt:lpstr>
      <vt:lpstr>Table 1 - Queens</vt:lpstr>
      <vt:lpstr>Table 1 - Staten Island</vt:lpstr>
      <vt:lpstr>Table 2 - Citywide</vt:lpstr>
      <vt:lpstr>Table 2 - Manhattan</vt:lpstr>
      <vt:lpstr>Table 2 - Bronx</vt:lpstr>
      <vt:lpstr>Table 2 - Brooklyn</vt:lpstr>
      <vt:lpstr>Table 2 - Queens</vt:lpstr>
      <vt:lpstr>Table 2 - Staten Island</vt:lpstr>
      <vt:lpstr>Table 3 - Citywide</vt:lpstr>
      <vt:lpstr>Table 3 - Manhattan</vt:lpstr>
      <vt:lpstr>Table 3 - Bronx</vt:lpstr>
      <vt:lpstr>Table 3 - Brooklyn</vt:lpstr>
      <vt:lpstr>Table 3 - Queens</vt:lpstr>
      <vt:lpstr>Table 3 - Staten Island</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Table 17</vt:lpstr>
      <vt:lpstr>Table 18</vt:lpstr>
      <vt:lpstr>Table 19</vt:lpstr>
      <vt:lpstr>Table 20</vt:lpstr>
      <vt:lpstr>Table 21</vt:lpstr>
      <vt:lpstr>Table 22</vt:lpstr>
      <vt:lpstr>Table 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SarichJ</dc:creator>
  <cp:lastModifiedBy>daboss</cp:lastModifiedBy>
  <dcterms:created xsi:type="dcterms:W3CDTF">2017-04-14T14:30:43Z</dcterms:created>
  <dcterms:modified xsi:type="dcterms:W3CDTF">2019-10-15T19:14:00Z</dcterms:modified>
</cp:coreProperties>
</file>