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fkdspub01\Green-Infrastructure\Research &amp; Development Contract\Task 4 - Maintenance and Operations\Task 4B\04 Deliverables\FINAL\"/>
    </mc:Choice>
  </mc:AlternateContent>
  <bookViews>
    <workbookView minimized="1" xWindow="0" yWindow="0" windowWidth="38400" windowHeight="12300"/>
  </bookViews>
  <sheets>
    <sheet name="SW Calculation Table" sheetId="3" r:id="rId1"/>
    <sheet name="SW Calculation Table- 1 in" sheetId="4" state="hidden" r:id="rId2"/>
    <sheet name="Instructions" sheetId="2" r:id="rId3"/>
  </sheets>
  <definedNames>
    <definedName name="_xlnm.Print_Area" localSheetId="2">Instructions!$A$2:$C$19</definedName>
    <definedName name="_xlnm.Print_Area" localSheetId="0">'SW Calculation Table'!$A$1:$Z$35</definedName>
    <definedName name="_xlnm.Print_Area" localSheetId="1">'SW Calculation Table- 1 in'!$A$1:$X$35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5" i="3" l="1"/>
  <c r="Y15" i="3"/>
  <c r="X16" i="3"/>
  <c r="Y16" i="3"/>
  <c r="X14" i="3"/>
  <c r="Y14" i="3"/>
  <c r="V15" i="3"/>
  <c r="V16" i="3"/>
  <c r="V14" i="3"/>
  <c r="T15" i="3"/>
  <c r="T16" i="3"/>
  <c r="W15" i="4"/>
  <c r="E16" i="4"/>
  <c r="I16" i="4"/>
  <c r="K16" i="4"/>
  <c r="E15" i="4"/>
  <c r="D18" i="4"/>
  <c r="D17" i="4"/>
  <c r="D16" i="4"/>
  <c r="D15" i="4"/>
  <c r="D14" i="4"/>
  <c r="R22" i="4"/>
  <c r="Q22" i="4"/>
  <c r="N22" i="4"/>
  <c r="K22" i="4"/>
  <c r="D22" i="4"/>
  <c r="R21" i="4"/>
  <c r="Q21" i="4"/>
  <c r="N21" i="4"/>
  <c r="I21" i="4"/>
  <c r="K21" i="4"/>
  <c r="S21" i="4"/>
  <c r="U21" i="4"/>
  <c r="V21" i="4"/>
  <c r="D21" i="4"/>
  <c r="C20" i="4"/>
  <c r="C23" i="4"/>
  <c r="T18" i="4"/>
  <c r="T17" i="4"/>
  <c r="Q15" i="4"/>
  <c r="N15" i="4"/>
  <c r="I15" i="4"/>
  <c r="K15" i="4"/>
  <c r="F15" i="4"/>
  <c r="R15" i="4"/>
  <c r="Q14" i="4"/>
  <c r="N14" i="4"/>
  <c r="I14" i="4"/>
  <c r="K14" i="4"/>
  <c r="F14" i="4"/>
  <c r="R14" i="4"/>
  <c r="N16" i="4"/>
  <c r="Q16" i="4"/>
  <c r="S16" i="4"/>
  <c r="U16" i="4"/>
  <c r="E20" i="4"/>
  <c r="I20" i="4"/>
  <c r="K20" i="4"/>
  <c r="S22" i="4"/>
  <c r="U22" i="4"/>
  <c r="V22" i="4"/>
  <c r="F16" i="4"/>
  <c r="R16" i="4"/>
  <c r="E17" i="4"/>
  <c r="S15" i="4"/>
  <c r="U15" i="4"/>
  <c r="S14" i="4"/>
  <c r="U14" i="4"/>
  <c r="N20" i="4"/>
  <c r="F20" i="4"/>
  <c r="R20" i="4"/>
  <c r="Q20" i="4"/>
  <c r="D20" i="4"/>
  <c r="D23" i="4"/>
  <c r="Q16" i="3"/>
  <c r="N16" i="3"/>
  <c r="I16" i="3"/>
  <c r="K16" i="3"/>
  <c r="F16" i="3"/>
  <c r="R16" i="3"/>
  <c r="D16" i="3"/>
  <c r="I14" i="3"/>
  <c r="K14" i="3"/>
  <c r="F14" i="3"/>
  <c r="D14" i="3"/>
  <c r="T14" i="3"/>
  <c r="Q15" i="3"/>
  <c r="D15" i="3"/>
  <c r="C20" i="3"/>
  <c r="E20" i="3"/>
  <c r="F20" i="3"/>
  <c r="S20" i="4"/>
  <c r="U20" i="4"/>
  <c r="E18" i="4"/>
  <c r="I17" i="4"/>
  <c r="K17" i="4"/>
  <c r="Q17" i="4"/>
  <c r="N17" i="4"/>
  <c r="F17" i="4"/>
  <c r="R17" i="4"/>
  <c r="W14" i="4"/>
  <c r="V14" i="4"/>
  <c r="W16" i="4"/>
  <c r="V16" i="4"/>
  <c r="V15" i="4"/>
  <c r="S16" i="3"/>
  <c r="U16" i="3"/>
  <c r="I15" i="3"/>
  <c r="K15" i="3"/>
  <c r="N15" i="3"/>
  <c r="F15" i="3"/>
  <c r="R15" i="3"/>
  <c r="D21" i="3"/>
  <c r="D22" i="3"/>
  <c r="D20" i="3"/>
  <c r="V20" i="4"/>
  <c r="U23" i="4"/>
  <c r="V23" i="4"/>
  <c r="S17" i="4"/>
  <c r="U17" i="4"/>
  <c r="Q18" i="4"/>
  <c r="N18" i="4"/>
  <c r="F18" i="4"/>
  <c r="R18" i="4"/>
  <c r="I18" i="4"/>
  <c r="K18" i="4"/>
  <c r="S15" i="3"/>
  <c r="U15" i="3"/>
  <c r="N14" i="3"/>
  <c r="Q14" i="3"/>
  <c r="R14" i="3"/>
  <c r="I20" i="3"/>
  <c r="K20" i="3"/>
  <c r="N20" i="3"/>
  <c r="Q20" i="3"/>
  <c r="R20" i="3"/>
  <c r="I21" i="3"/>
  <c r="K21" i="3"/>
  <c r="N21" i="3"/>
  <c r="Q21" i="3"/>
  <c r="K22" i="3"/>
  <c r="N22" i="3"/>
  <c r="Q22" i="3"/>
  <c r="R22" i="3"/>
  <c r="C23" i="3"/>
  <c r="D23" i="3"/>
  <c r="S18" i="4"/>
  <c r="U18" i="4"/>
  <c r="W17" i="4"/>
  <c r="V17" i="4"/>
  <c r="S22" i="3"/>
  <c r="U22" i="3"/>
  <c r="S21" i="3"/>
  <c r="S20" i="3"/>
  <c r="U20" i="3"/>
  <c r="S14" i="3"/>
  <c r="U14" i="3"/>
  <c r="R21" i="3"/>
  <c r="W18" i="4"/>
  <c r="V18" i="4"/>
  <c r="U21" i="3"/>
  <c r="U23" i="3"/>
</calcChain>
</file>

<file path=xl/sharedStrings.xml><?xml version="1.0" encoding="utf-8"?>
<sst xmlns="http://schemas.openxmlformats.org/spreadsheetml/2006/main" count="218" uniqueCount="121">
  <si>
    <t>NYC Department of Environmental Protection</t>
  </si>
  <si>
    <t>Bureau of Environmental Planning and Analysis</t>
  </si>
  <si>
    <r>
      <rPr>
        <sz val="12"/>
        <rFont val="Calibri"/>
        <family val="2"/>
        <scheme val="minor"/>
      </rPr>
      <t>Borough of</t>
    </r>
    <r>
      <rPr>
        <sz val="12"/>
        <color theme="0" tint="-0.34998626667073579"/>
        <rFont val="Calibri"/>
        <family val="2"/>
        <scheme val="minor"/>
      </rPr>
      <t xml:space="preserve"> X</t>
    </r>
    <r>
      <rPr>
        <sz val="12"/>
        <rFont val="Calibri"/>
        <family val="2"/>
        <scheme val="minor"/>
      </rPr>
      <t>, New York</t>
    </r>
  </si>
  <si>
    <t>DEP Contract ID:</t>
  </si>
  <si>
    <t>[Contract]</t>
  </si>
  <si>
    <t>Site Name:</t>
  </si>
  <si>
    <t>[Property Name, Owner Agency Name]</t>
  </si>
  <si>
    <t>DEP Project:</t>
  </si>
  <si>
    <t>[Project Description]</t>
  </si>
  <si>
    <t>Site Address:</t>
  </si>
  <si>
    <t>[Site Address, Borough]</t>
  </si>
  <si>
    <t>Prepared By:</t>
  </si>
  <si>
    <t>[Consultant/Sub Name]</t>
  </si>
  <si>
    <t xml:space="preserve">Date: </t>
  </si>
  <si>
    <t>[Date of Submission]</t>
  </si>
  <si>
    <t>Stormwater Calculation Table for On-site GI Practices</t>
  </si>
  <si>
    <t>Submission Stage:</t>
  </si>
  <si>
    <t>[Conceptual/Schematic/60%/90%/100% Plans]</t>
  </si>
  <si>
    <t>GI ID</t>
  </si>
  <si>
    <t>GI Asset Data</t>
  </si>
  <si>
    <t>Stormwater Storage Calculations</t>
  </si>
  <si>
    <t>Total Stormwater Managed
(Infiltration + Storage)</t>
  </si>
  <si>
    <t>As Built Stormwater Managed
(Infiltration + Storage)</t>
  </si>
  <si>
    <t>Additional Notes</t>
  </si>
  <si>
    <t>Managed Impervious Tributary Area</t>
  </si>
  <si>
    <t>Volume 1.25" Rainfall on Impervious Area</t>
  </si>
  <si>
    <t>GI Footprint Surface Area</t>
  </si>
  <si>
    <t>GI Perimeter</t>
  </si>
  <si>
    <t>Permeability Coefficient</t>
  </si>
  <si>
    <t>Stormwater chambers, pipes, tanks, etc. volume</t>
  </si>
  <si>
    <t>Surface Storage</t>
  </si>
  <si>
    <t>Engineered Soil</t>
  </si>
  <si>
    <t>Stone Subbase</t>
  </si>
  <si>
    <t xml:space="preserve">Surface Storage Area </t>
  </si>
  <si>
    <t>Surface Storage Depth</t>
  </si>
  <si>
    <t>Surface Storage Volume</t>
  </si>
  <si>
    <t>Soil Depth</t>
  </si>
  <si>
    <t>Soil Voids</t>
  </si>
  <si>
    <t>Stormwater Captured by Soil</t>
  </si>
  <si>
    <t>Stone Depth</t>
  </si>
  <si>
    <t>Stone Voids</t>
  </si>
  <si>
    <t>Stormwater Captured by Stone Layer</t>
  </si>
  <si>
    <t>Estimated Total Infiltration Volume</t>
  </si>
  <si>
    <t>Estimated Total Storage Volume</t>
  </si>
  <si>
    <t xml:space="preserve">% Impervious Surface Managed </t>
  </si>
  <si>
    <t>Calculated Volume of Rainfall Captured</t>
  </si>
  <si>
    <t>Double Ring Infiltrometer Permeability Coefficient</t>
  </si>
  <si>
    <t>sf</t>
  </si>
  <si>
    <t>cf</t>
  </si>
  <si>
    <t>ft</t>
  </si>
  <si>
    <t>in/hr</t>
  </si>
  <si>
    <t>in</t>
  </si>
  <si>
    <t>%</t>
  </si>
  <si>
    <t>gal</t>
  </si>
  <si>
    <t>Alternative 1</t>
  </si>
  <si>
    <t>No retention, sized for static volume to capture 1.25 in</t>
  </si>
  <si>
    <t>To be used for all detention-based practices with 0.1 cfs/ac release rate</t>
  </si>
  <si>
    <t>Retention credit, sized for static volume to capture 1.25 in (as above) but manages 1.5 in</t>
  </si>
  <si>
    <t>Retention credit, sized for static volume to capture 1.25 in (as above) but manages 1.8 in</t>
  </si>
  <si>
    <t>TOTALS</t>
  </si>
  <si>
    <t>Alternative 2</t>
  </si>
  <si>
    <t>01RGa</t>
  </si>
  <si>
    <r>
      <t>01RGb</t>
    </r>
    <r>
      <rPr>
        <vertAlign val="superscript"/>
        <sz val="12"/>
        <color theme="1"/>
        <rFont val="Calibri"/>
        <family val="2"/>
        <scheme val="minor"/>
      </rPr>
      <t>1</t>
    </r>
  </si>
  <si>
    <r>
      <t>02STa</t>
    </r>
    <r>
      <rPr>
        <vertAlign val="superscript"/>
        <sz val="12"/>
        <color theme="1"/>
        <rFont val="Calibri"/>
        <family val="2"/>
        <scheme val="minor"/>
      </rPr>
      <t>2</t>
    </r>
  </si>
  <si>
    <t>Notes:</t>
  </si>
  <si>
    <t>See instructions below for specificdirections and guidance in filling out the calculation table.</t>
  </si>
  <si>
    <t>Shaded cells require input. Unshaded cells contain formulas or static values.</t>
  </si>
  <si>
    <t xml:space="preserve">Table is to be inserted into drawings and reports as specificed in the Onsite Design Guideline. </t>
  </si>
  <si>
    <t>rev 2/2/2016</t>
  </si>
  <si>
    <t>……………………………………………………</t>
  </si>
  <si>
    <t>.</t>
  </si>
  <si>
    <t>Volume 1" Rainfall on Impervious Area</t>
  </si>
  <si>
    <t>Calculated Outflow for Detention</t>
  </si>
  <si>
    <t>Calculated Volume of  1.25" Rainfall Captured</t>
  </si>
  <si>
    <t>Managed storm credit</t>
  </si>
  <si>
    <t>Retention credit, sized for static volume to capture 1.25 in (as above) but manages 1.5 in (see column V)</t>
  </si>
  <si>
    <t>Retention credit, sized for static volume to capture 1.25 in (as above) but manages 1.8 in (see column V)</t>
  </si>
  <si>
    <t>Detention credit, sized for static volume to capture 1.25 in (as above) but manages 1.65 in (see column V)</t>
  </si>
  <si>
    <t>0.05 cfs /ac</t>
  </si>
  <si>
    <t>Detention credit, sized for static volume to capture 1.25 in (as above) but manages 2 in (see column V)</t>
  </si>
  <si>
    <t>0.1 cfs /ac</t>
  </si>
  <si>
    <r>
      <rPr>
        <vertAlign val="superscript"/>
        <sz val="11"/>
        <color theme="1"/>
        <rFont val="Calibri"/>
        <family val="2"/>
        <scheme val="minor"/>
      </rPr>
      <t>1</t>
    </r>
    <r>
      <rPr>
        <sz val="11"/>
        <color theme="1"/>
        <rFont val="Calibri"/>
        <family val="2"/>
        <scheme val="minor"/>
      </rPr>
      <t>01PPa and 01RGb are alternatives.</t>
    </r>
  </si>
  <si>
    <r>
      <rPr>
        <vertAlign val="superscript"/>
        <sz val="11"/>
        <color theme="1"/>
        <rFont val="Calibri"/>
        <family val="2"/>
        <scheme val="minor"/>
      </rPr>
      <t>2</t>
    </r>
    <r>
      <rPr>
        <sz val="11"/>
        <color theme="1"/>
        <rFont val="Calibri"/>
        <family val="2"/>
        <scheme val="minor"/>
      </rPr>
      <t>02SRa and 02STa are alternatives.</t>
    </r>
  </si>
  <si>
    <t>When inserting the table into the conceptual/walkthrough map, only show columns A-F and T-V. When inserting the table into schematic or contract plans, show the entire table on the drawing.</t>
  </si>
  <si>
    <t>Instructions for On-Site GI Practice Stormwater Calculation Table</t>
  </si>
  <si>
    <t>1)</t>
  </si>
  <si>
    <t>'GI ID':</t>
  </si>
  <si>
    <t>Proposed practices that will be considered across all site-wide "alternative" options should be duplicated in each option. Among the site-wide alternative options, indicate which specific GI practice alternatives are alternatives to each other.</t>
  </si>
  <si>
    <t>2)</t>
  </si>
  <si>
    <t xml:space="preserve">'Permeability Coefficient': </t>
  </si>
  <si>
    <t>Use assumed permeability coefficient of 0.50 in/hr until actual permeability data is available. Assume a maximum of 5 in/hr for bioretention practices and 10 in/hr for all other practices. Update with double ring infiltrometer results for final submittal.</t>
  </si>
  <si>
    <t>3)</t>
  </si>
  <si>
    <t>'Stormwater chambers, pipes, tanks, etc. volume':</t>
  </si>
  <si>
    <t>For nonzero values, please explain the method used to determine the indicated value.</t>
  </si>
  <si>
    <t>If using a calculator provided by a subsurface storage manufacturer, please submit the calculator that was used.</t>
  </si>
  <si>
    <t>4)</t>
  </si>
  <si>
    <t>'Surface Storage':</t>
  </si>
  <si>
    <t>Accounts for ponding area in bioretention practices and void spaces in porous asphalt/concrete surfaces.</t>
  </si>
  <si>
    <t>Assume a ponding area of (0.75*total surface area) in bioretention practices.</t>
  </si>
  <si>
    <t xml:space="preserve">Assume 33% void space in porous asphalt/concrete surfaces. Modify per manufacturer's specs as necessary. </t>
  </si>
  <si>
    <t>5)</t>
  </si>
  <si>
    <t>'Engineered Soil':</t>
  </si>
  <si>
    <t>Only for vegetated (bioretention) practices. Soil depth is determined based on proposed planting. Use a standard 25% for soil voids.</t>
  </si>
  <si>
    <t>6)</t>
  </si>
  <si>
    <t>Stone Storage Layer':</t>
  </si>
  <si>
    <t>For all types of GI practices. Stone depth is determined by sizing for 100% management of 1'' rainfall on the corresponding TDA. Assume a minimum depth of 12'', unless otherwise indicated by the manufacturer.</t>
  </si>
  <si>
    <t>For bioretention and subsurface retention, use default of 50%. Use a default of 40% for PP and synthetic turf. Modify per manufacturer's specs as necessary.</t>
  </si>
  <si>
    <t>For subsurface retention practices, use an equivalent depth that includes the depth of the chambers. When calculating the stone storage capacity, subtract the storage volume of the chambers from the calculated storage volume of the stone layer before multiplying by stone void percentage.</t>
  </si>
  <si>
    <t>7)</t>
  </si>
  <si>
    <t>'Estimated Total Infiltration Volume':</t>
  </si>
  <si>
    <t xml:space="preserve">For bioretention practices, subtract the height of the header from the total depth of the practice (if applicable) when determining horizontal infiltration. </t>
  </si>
  <si>
    <t>8)</t>
  </si>
  <si>
    <t>'% Impervious Surface Managed':</t>
  </si>
  <si>
    <t>Adjust other variables in table to approximate 100% management for each practice. Undersized or oversized practices may be acceptable on a case-by-base basis.</t>
  </si>
  <si>
    <t>9)</t>
  </si>
  <si>
    <t>'Additional Notes':</t>
  </si>
  <si>
    <t>Use this column to provide other relevant information, including but not limited to:</t>
  </si>
  <si>
    <t>- the proposed bottom depths for subsurface storage practices</t>
  </si>
  <si>
    <t>- if the permeability coefficient was inferred from a location outside of the practice footprint</t>
  </si>
  <si>
    <t>- if the permeability coefficient used for the calculation was different from the measured value (i.e., using the maximum allowable value where rapid infiltration was encountered)</t>
  </si>
  <si>
    <t>See instructions for specificdirections and guidance in filling out the calculation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</si>
</sst>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21"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4"/>
      <color theme="1"/>
      <name val="Calibri"/>
      <family val="2"/>
      <scheme val="minor"/>
    </font>
    <font>
      <sz val="14"/>
      <color theme="1"/>
      <name val="Calibri"/>
      <family val="2"/>
      <scheme val="minor"/>
    </font>
    <font>
      <sz val="16"/>
      <color theme="0" tint="-0.34998626667073579"/>
      <name val="Calibri"/>
      <family val="2"/>
      <scheme val="minor"/>
    </font>
    <font>
      <sz val="16"/>
      <color theme="1"/>
      <name val="Calibri"/>
      <family val="2"/>
      <scheme val="minor"/>
    </font>
    <font>
      <b/>
      <sz val="16"/>
      <color theme="6" tint="-0.249977111117893"/>
      <name val="Calibri"/>
      <family val="2"/>
      <scheme val="minor"/>
    </font>
    <font>
      <b/>
      <sz val="12"/>
      <color theme="6" tint="-0.249977111117893"/>
      <name val="Calibri"/>
      <family val="2"/>
      <scheme val="minor"/>
    </font>
    <font>
      <b/>
      <sz val="16"/>
      <name val="Calibri"/>
      <family val="2"/>
      <scheme val="minor"/>
    </font>
    <font>
      <b/>
      <sz val="16"/>
      <color theme="1"/>
      <name val="Calibri"/>
      <family val="2"/>
      <scheme val="minor"/>
    </font>
    <font>
      <sz val="12"/>
      <color theme="0" tint="-0.34998626667073579"/>
      <name val="Calibri"/>
      <family val="2"/>
      <scheme val="minor"/>
    </font>
    <font>
      <sz val="10"/>
      <color theme="1"/>
      <name val="Calibri"/>
      <family val="2"/>
      <scheme val="minor"/>
    </font>
    <font>
      <vertAlign val="superscript"/>
      <sz val="12"/>
      <color theme="1"/>
      <name val="Calibri"/>
      <family val="2"/>
      <scheme val="minor"/>
    </font>
    <font>
      <vertAlign val="superscript"/>
      <sz val="11"/>
      <color theme="1"/>
      <name val="Calibri"/>
      <family val="2"/>
      <scheme val="minor"/>
    </font>
    <font>
      <b/>
      <sz val="11"/>
      <color theme="1"/>
      <name val="Calibri"/>
      <family val="2"/>
      <scheme val="minor"/>
    </font>
    <font>
      <sz val="12"/>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201">
    <xf numFmtId="0" fontId="0" fillId="0" borderId="0" xfId="0"/>
    <xf numFmtId="13" fontId="0" fillId="0" borderId="0" xfId="1" applyNumberFormat="1" applyFont="1"/>
    <xf numFmtId="164" fontId="5" fillId="0" borderId="1" xfId="0" applyNumberFormat="1"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2" fontId="6" fillId="3" borderId="1" xfId="0" applyNumberFormat="1" applyFont="1" applyFill="1" applyBorder="1" applyAlignment="1" applyProtection="1">
      <alignment horizontal="center" vertical="center" wrapText="1"/>
      <protection locked="0"/>
    </xf>
    <xf numFmtId="164" fontId="6" fillId="0" borderId="1" xfId="0" applyNumberFormat="1" applyFont="1" applyFill="1" applyBorder="1" applyAlignment="1" applyProtection="1">
      <alignment horizontal="center" vertical="center" wrapText="1"/>
    </xf>
    <xf numFmtId="1" fontId="5" fillId="3" borderId="1" xfId="0" applyNumberFormat="1" applyFont="1" applyFill="1" applyBorder="1" applyAlignment="1" applyProtection="1">
      <alignment horizontal="center" vertical="center" wrapText="1"/>
      <protection locked="0"/>
    </xf>
    <xf numFmtId="43" fontId="6" fillId="3" borderId="1" xfId="0" applyNumberFormat="1" applyFont="1" applyFill="1" applyBorder="1" applyAlignment="1" applyProtection="1">
      <alignment horizontal="center" vertical="center" wrapText="1"/>
      <protection locked="0"/>
    </xf>
    <xf numFmtId="43" fontId="6" fillId="0" borderId="1" xfId="0" applyNumberFormat="1" applyFont="1" applyBorder="1" applyAlignment="1" applyProtection="1">
      <alignment horizontal="center" vertical="center" wrapText="1"/>
    </xf>
    <xf numFmtId="0" fontId="6" fillId="3" borderId="3" xfId="0" applyFont="1" applyFill="1" applyBorder="1" applyAlignment="1" applyProtection="1">
      <alignment horizontal="center" vertical="center" wrapText="1"/>
      <protection locked="0"/>
    </xf>
    <xf numFmtId="164" fontId="5" fillId="0" borderId="2" xfId="0" applyNumberFormat="1" applyFont="1" applyBorder="1" applyAlignment="1" applyProtection="1">
      <alignment horizontal="center" vertical="center" wrapText="1"/>
    </xf>
    <xf numFmtId="164" fontId="6" fillId="0" borderId="2" xfId="0" applyNumberFormat="1" applyFont="1" applyBorder="1" applyAlignment="1" applyProtection="1">
      <alignment horizontal="center" vertical="center" wrapText="1"/>
    </xf>
    <xf numFmtId="164" fontId="6" fillId="0" borderId="2" xfId="0" applyNumberFormat="1" applyFont="1" applyFill="1" applyBorder="1" applyAlignment="1" applyProtection="1">
      <alignment horizontal="center" vertical="center" wrapText="1"/>
    </xf>
    <xf numFmtId="164" fontId="3" fillId="0" borderId="1" xfId="3" applyNumberFormat="1" applyFont="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164" fontId="5" fillId="0" borderId="5" xfId="0" applyNumberFormat="1" applyFont="1" applyBorder="1" applyAlignment="1" applyProtection="1">
      <alignment horizontal="center" vertical="center" wrapText="1"/>
    </xf>
    <xf numFmtId="1" fontId="6" fillId="3" borderId="5" xfId="0" applyNumberFormat="1" applyFont="1" applyFill="1" applyBorder="1" applyAlignment="1" applyProtection="1">
      <alignment horizontal="center" vertical="center" wrapText="1"/>
      <protection locked="0"/>
    </xf>
    <xf numFmtId="164" fontId="6" fillId="0" borderId="5" xfId="0" applyNumberFormat="1" applyFont="1" applyBorder="1" applyAlignment="1" applyProtection="1">
      <alignment horizontal="center" vertical="center" wrapText="1"/>
    </xf>
    <xf numFmtId="2" fontId="6" fillId="3" borderId="5" xfId="0" applyNumberFormat="1" applyFont="1" applyFill="1" applyBorder="1" applyAlignment="1" applyProtection="1">
      <alignment horizontal="center" vertical="center" wrapText="1"/>
      <protection locked="0"/>
    </xf>
    <xf numFmtId="164" fontId="6" fillId="2" borderId="5" xfId="0" applyNumberFormat="1" applyFont="1" applyFill="1" applyBorder="1" applyAlignment="1" applyProtection="1">
      <alignment horizontal="center" vertical="center" wrapText="1"/>
    </xf>
    <xf numFmtId="164" fontId="6" fillId="0" borderId="5" xfId="0" applyNumberFormat="1" applyFont="1" applyFill="1" applyBorder="1" applyAlignment="1" applyProtection="1">
      <alignment horizontal="center" vertical="center" wrapText="1"/>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9" fontId="4" fillId="0" borderId="15" xfId="1" applyFont="1" applyBorder="1" applyAlignment="1" applyProtection="1">
      <alignment horizontal="center" vertical="center" wrapText="1"/>
    </xf>
    <xf numFmtId="0" fontId="8" fillId="0" borderId="0" xfId="0" applyFont="1"/>
    <xf numFmtId="0" fontId="9" fillId="0" borderId="0" xfId="0" applyFont="1" applyAlignment="1"/>
    <xf numFmtId="0" fontId="10" fillId="0" borderId="0" xfId="0" applyFont="1"/>
    <xf numFmtId="0" fontId="11" fillId="0" borderId="0" xfId="0" applyFont="1" applyAlignment="1"/>
    <xf numFmtId="0" fontId="5" fillId="0" borderId="0" xfId="0" applyFont="1"/>
    <xf numFmtId="0" fontId="12" fillId="0" borderId="0" xfId="0" applyFont="1" applyAlignment="1"/>
    <xf numFmtId="1" fontId="11" fillId="0" borderId="0" xfId="0" applyNumberFormat="1" applyFont="1" applyAlignment="1">
      <alignment horizontal="center"/>
    </xf>
    <xf numFmtId="49" fontId="11" fillId="0" borderId="0" xfId="0" applyNumberFormat="1" applyFont="1" applyAlignment="1">
      <alignment horizontal="center"/>
    </xf>
    <xf numFmtId="0" fontId="13" fillId="0" borderId="0" xfId="0" applyFont="1" applyAlignment="1"/>
    <xf numFmtId="0" fontId="3" fillId="0" borderId="0" xfId="0" applyFont="1" applyAlignment="1"/>
    <xf numFmtId="1" fontId="13" fillId="0" borderId="0" xfId="0" applyNumberFormat="1" applyFont="1" applyAlignment="1">
      <alignment horizontal="center"/>
    </xf>
    <xf numFmtId="49" fontId="13" fillId="0" borderId="0" xfId="0" applyNumberFormat="1"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xf numFmtId="1" fontId="10" fillId="0" borderId="0" xfId="0" applyNumberFormat="1" applyFont="1" applyAlignment="1">
      <alignment horizontal="center"/>
    </xf>
    <xf numFmtId="49" fontId="10" fillId="0" borderId="0" xfId="0" applyNumberFormat="1" applyFont="1" applyAlignment="1">
      <alignment horizontal="center"/>
    </xf>
    <xf numFmtId="0" fontId="14" fillId="0" borderId="0" xfId="0" applyFont="1" applyAlignment="1"/>
    <xf numFmtId="0" fontId="10" fillId="0" borderId="0" xfId="0" applyFont="1" applyAlignment="1">
      <alignment horizontal="center" vertical="center"/>
    </xf>
    <xf numFmtId="0" fontId="4" fillId="0" borderId="0" xfId="0" applyFont="1" applyAlignment="1"/>
    <xf numFmtId="1" fontId="14" fillId="0" borderId="0" xfId="0" applyNumberFormat="1" applyFont="1" applyAlignment="1">
      <alignment horizontal="center"/>
    </xf>
    <xf numFmtId="49" fontId="7" fillId="0" borderId="0" xfId="0" applyNumberFormat="1" applyFont="1" applyAlignment="1">
      <alignment horizontal="center"/>
    </xf>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4" fillId="0" borderId="0" xfId="0" applyFont="1" applyFill="1" applyBorder="1" applyAlignment="1" applyProtection="1">
      <alignment wrapText="1"/>
      <protection locked="0"/>
    </xf>
    <xf numFmtId="0" fontId="0" fillId="0" borderId="0" xfId="0" applyFont="1" applyBorder="1" applyAlignment="1">
      <alignment horizontal="center"/>
    </xf>
    <xf numFmtId="0" fontId="5" fillId="0" borderId="0" xfId="0" applyFont="1" applyFill="1" applyBorder="1" applyAlignment="1" applyProtection="1">
      <protection locked="0"/>
    </xf>
    <xf numFmtId="0" fontId="5" fillId="0" borderId="0" xfId="0" applyFont="1" applyFill="1" applyBorder="1"/>
    <xf numFmtId="2" fontId="6" fillId="3" borderId="2" xfId="0" applyNumberFormat="1"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xf>
    <xf numFmtId="164" fontId="4" fillId="0" borderId="12" xfId="0" applyNumberFormat="1" applyFont="1" applyBorder="1" applyAlignment="1" applyProtection="1">
      <alignment horizontal="center" vertical="center" wrapText="1"/>
    </xf>
    <xf numFmtId="0" fontId="15" fillId="0" borderId="0" xfId="0" applyFont="1" applyAlignment="1"/>
    <xf numFmtId="0" fontId="4" fillId="0" borderId="10" xfId="0" applyFont="1" applyBorder="1" applyAlignment="1" applyProtection="1">
      <alignment horizontal="center" vertical="center" wrapText="1"/>
      <protection locked="0"/>
    </xf>
    <xf numFmtId="2" fontId="4" fillId="0" borderId="13" xfId="0" applyNumberFormat="1" applyFont="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2" fontId="6" fillId="3" borderId="16" xfId="0" applyNumberFormat="1" applyFont="1" applyFill="1" applyBorder="1" applyAlignment="1" applyProtection="1">
      <alignment horizontal="center" vertical="center" wrapText="1"/>
    </xf>
    <xf numFmtId="1" fontId="6" fillId="3" borderId="16" xfId="0" applyNumberFormat="1" applyFont="1" applyFill="1" applyBorder="1" applyAlignment="1" applyProtection="1">
      <alignment horizontal="center" vertical="center" wrapText="1"/>
      <protection locked="0"/>
    </xf>
    <xf numFmtId="164" fontId="6" fillId="2" borderId="16" xfId="0" applyNumberFormat="1" applyFont="1" applyFill="1" applyBorder="1" applyAlignment="1" applyProtection="1">
      <alignment horizontal="center" vertical="center" wrapText="1"/>
    </xf>
    <xf numFmtId="0" fontId="4" fillId="0" borderId="13" xfId="0" applyFont="1" applyFill="1" applyBorder="1" applyAlignment="1" applyProtection="1">
      <alignment vertical="center" wrapText="1"/>
      <protection locked="0"/>
    </xf>
    <xf numFmtId="0" fontId="3" fillId="0" borderId="13" xfId="0" applyFont="1" applyBorder="1" applyAlignment="1" applyProtection="1">
      <alignment vertical="center" wrapText="1"/>
      <protection locked="0"/>
    </xf>
    <xf numFmtId="2" fontId="4" fillId="0" borderId="13" xfId="0" applyNumberFormat="1" applyFont="1" applyFill="1" applyBorder="1" applyAlignment="1" applyProtection="1">
      <alignment horizontal="center" vertical="center" wrapText="1"/>
      <protection locked="0"/>
    </xf>
    <xf numFmtId="0" fontId="16" fillId="0" borderId="0" xfId="0" applyFont="1"/>
    <xf numFmtId="164" fontId="6" fillId="3" borderId="16" xfId="0" applyNumberFormat="1" applyFont="1" applyFill="1" applyBorder="1" applyAlignment="1" applyProtection="1">
      <alignment horizontal="center" vertical="center" wrapText="1"/>
    </xf>
    <xf numFmtId="0" fontId="4" fillId="0" borderId="17"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43" fontId="6" fillId="0" borderId="1" xfId="0" applyNumberFormat="1" applyFont="1" applyFill="1" applyBorder="1" applyAlignment="1" applyProtection="1">
      <alignment horizontal="center" vertical="center" wrapText="1"/>
    </xf>
    <xf numFmtId="0" fontId="4" fillId="0" borderId="1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164" fontId="5" fillId="0" borderId="16" xfId="0" applyNumberFormat="1" applyFont="1" applyBorder="1" applyAlignment="1" applyProtection="1">
      <alignment horizontal="center" vertical="center" wrapText="1"/>
    </xf>
    <xf numFmtId="1" fontId="6" fillId="3" borderId="16" xfId="0" applyNumberFormat="1" applyFont="1" applyFill="1" applyBorder="1" applyAlignment="1" applyProtection="1">
      <alignment horizontal="center" vertical="center" wrapText="1"/>
    </xf>
    <xf numFmtId="2" fontId="6" fillId="3" borderId="16" xfId="0" applyNumberFormat="1" applyFont="1" applyFill="1" applyBorder="1" applyAlignment="1" applyProtection="1">
      <alignment horizontal="center" vertical="center" wrapText="1"/>
      <protection locked="0"/>
    </xf>
    <xf numFmtId="43" fontId="6" fillId="3" borderId="16" xfId="0" applyNumberFormat="1" applyFont="1" applyFill="1" applyBorder="1" applyAlignment="1" applyProtection="1">
      <alignment horizontal="center" vertical="center" wrapText="1"/>
      <protection locked="0"/>
    </xf>
    <xf numFmtId="164" fontId="6" fillId="0" borderId="16" xfId="0" applyNumberFormat="1" applyFont="1" applyBorder="1" applyAlignment="1" applyProtection="1">
      <alignment horizontal="center" vertical="center" wrapText="1"/>
    </xf>
    <xf numFmtId="164" fontId="6" fillId="0" borderId="16" xfId="0" applyNumberFormat="1" applyFont="1" applyFill="1" applyBorder="1" applyAlignment="1" applyProtection="1">
      <alignment horizontal="center" vertical="center" wrapText="1"/>
    </xf>
    <xf numFmtId="9" fontId="6" fillId="0" borderId="19" xfId="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3" fillId="0" borderId="1" xfId="2"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 fontId="3" fillId="0" borderId="1" xfId="3"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164" fontId="3" fillId="0" borderId="1" xfId="3" applyNumberFormat="1" applyFont="1" applyFill="1" applyBorder="1" applyAlignment="1" applyProtection="1">
      <alignment horizontal="center" vertical="center" wrapText="1"/>
      <protection locked="0"/>
    </xf>
    <xf numFmtId="9" fontId="6" fillId="0" borderId="21" xfId="1" applyFont="1" applyFill="1" applyBorder="1" applyAlignment="1" applyProtection="1">
      <alignment horizontal="center" vertical="center" wrapText="1"/>
    </xf>
    <xf numFmtId="9" fontId="6" fillId="0" borderId="3" xfId="1" applyFont="1" applyFill="1" applyBorder="1" applyAlignment="1" applyProtection="1">
      <alignment horizontal="center" vertical="center" wrapText="1"/>
    </xf>
    <xf numFmtId="9" fontId="4" fillId="0" borderId="20" xfId="1" applyFont="1" applyBorder="1" applyAlignment="1" applyProtection="1">
      <alignment horizontal="center" vertical="center" wrapText="1"/>
    </xf>
    <xf numFmtId="9" fontId="6" fillId="0" borderId="22" xfId="1" applyFont="1" applyFill="1" applyBorder="1" applyAlignment="1" applyProtection="1">
      <alignment horizontal="center" vertical="center" wrapText="1"/>
    </xf>
    <xf numFmtId="43" fontId="6" fillId="3" borderId="25" xfId="0" applyNumberFormat="1" applyFont="1" applyFill="1" applyBorder="1" applyAlignment="1" applyProtection="1">
      <alignment horizontal="left" vertical="center" wrapText="1"/>
      <protection locked="0"/>
    </xf>
    <xf numFmtId="43" fontId="6" fillId="3" borderId="24" xfId="0" applyNumberFormat="1" applyFont="1" applyFill="1" applyBorder="1" applyAlignment="1" applyProtection="1">
      <alignment horizontal="left" vertical="center" wrapText="1"/>
      <protection locked="0"/>
    </xf>
    <xf numFmtId="0" fontId="4" fillId="0" borderId="27" xfId="0" applyFont="1" applyBorder="1" applyAlignment="1" applyProtection="1">
      <alignment vertical="center" wrapText="1"/>
      <protection locked="0"/>
    </xf>
    <xf numFmtId="0" fontId="3" fillId="0" borderId="8" xfId="3" applyFont="1" applyBorder="1" applyAlignment="1" applyProtection="1">
      <alignment horizontal="center" vertical="center" wrapText="1"/>
      <protection locked="0"/>
    </xf>
    <xf numFmtId="0" fontId="3" fillId="0" borderId="8" xfId="3" applyFont="1" applyFill="1" applyBorder="1" applyAlignment="1" applyProtection="1">
      <alignment horizontal="center" vertical="center" wrapText="1"/>
      <protection locked="0"/>
    </xf>
    <xf numFmtId="0" fontId="16" fillId="0" borderId="0" xfId="0" applyFont="1" applyAlignment="1">
      <alignment horizontal="left"/>
    </xf>
    <xf numFmtId="0" fontId="4" fillId="0" borderId="0" xfId="0" applyFont="1" applyAlignment="1">
      <alignment horizontal="left"/>
    </xf>
    <xf numFmtId="0" fontId="16" fillId="0" borderId="0" xfId="0" applyFont="1" applyBorder="1"/>
    <xf numFmtId="1" fontId="6" fillId="3" borderId="1" xfId="0" applyNumberFormat="1" applyFont="1" applyFill="1" applyBorder="1" applyAlignment="1" applyProtection="1">
      <alignment horizontal="center" vertical="center" wrapText="1"/>
      <protection locked="0"/>
    </xf>
    <xf numFmtId="1" fontId="6" fillId="3" borderId="2" xfId="0" applyNumberFormat="1" applyFont="1" applyFill="1" applyBorder="1" applyAlignment="1" applyProtection="1">
      <alignment horizontal="center" vertical="center" wrapText="1"/>
      <protection locked="0"/>
    </xf>
    <xf numFmtId="0" fontId="0" fillId="0" borderId="33" xfId="0" applyFont="1" applyBorder="1"/>
    <xf numFmtId="0" fontId="0" fillId="0" borderId="17" xfId="0" applyFont="1" applyBorder="1"/>
    <xf numFmtId="0" fontId="4" fillId="0" borderId="0" xfId="0" applyFont="1" applyAlignment="1">
      <alignment horizontal="center" vertical="top"/>
    </xf>
    <xf numFmtId="0" fontId="15" fillId="0" borderId="0" xfId="0" applyFont="1" applyAlignment="1">
      <alignment vertical="center"/>
    </xf>
    <xf numFmtId="0" fontId="12" fillId="0" borderId="0" xfId="0" applyFont="1" applyAlignment="1">
      <alignment horizontal="center" vertical="center"/>
    </xf>
    <xf numFmtId="0" fontId="3"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vertical="center"/>
    </xf>
    <xf numFmtId="0" fontId="5" fillId="0" borderId="1" xfId="0" applyFont="1" applyFill="1" applyBorder="1" applyAlignment="1" applyProtection="1">
      <alignment horizontal="center" vertical="center" wrapText="1"/>
      <protection locked="0"/>
    </xf>
    <xf numFmtId="0" fontId="19" fillId="2" borderId="1" xfId="0" applyFont="1" applyFill="1" applyBorder="1" applyAlignment="1">
      <alignment horizontal="left"/>
    </xf>
    <xf numFmtId="0" fontId="0" fillId="2" borderId="1" xfId="0" applyFont="1" applyFill="1" applyBorder="1"/>
    <xf numFmtId="0" fontId="0" fillId="2" borderId="1" xfId="0" applyFont="1" applyFill="1" applyBorder="1" applyAlignment="1">
      <alignment horizontal="center" vertical="center"/>
    </xf>
    <xf numFmtId="0" fontId="0" fillId="2" borderId="1" xfId="0" quotePrefix="1" applyFont="1" applyFill="1" applyBorder="1" applyAlignment="1">
      <alignment vertical="center"/>
    </xf>
    <xf numFmtId="0" fontId="0" fillId="2" borderId="1" xfId="0" applyFont="1" applyFill="1" applyBorder="1" applyAlignment="1">
      <alignment vertical="center" wrapText="1"/>
    </xf>
    <xf numFmtId="0" fontId="0" fillId="2" borderId="1" xfId="0" applyFont="1" applyFill="1" applyBorder="1" applyAlignment="1" applyProtection="1">
      <alignment vertical="center" wrapText="1"/>
      <protection locked="0"/>
    </xf>
    <xf numFmtId="0" fontId="0" fillId="2" borderId="28" xfId="0" applyFont="1" applyFill="1" applyBorder="1" applyAlignment="1">
      <alignment vertical="center" wrapText="1"/>
    </xf>
    <xf numFmtId="0" fontId="0" fillId="2" borderId="29" xfId="0" quotePrefix="1" applyFont="1" applyFill="1" applyBorder="1" applyAlignment="1">
      <alignment vertical="center" wrapText="1"/>
    </xf>
    <xf numFmtId="0" fontId="0" fillId="2" borderId="16" xfId="0" quotePrefix="1" applyFont="1" applyFill="1" applyBorder="1" applyAlignment="1">
      <alignment vertical="center" wrapText="1"/>
    </xf>
    <xf numFmtId="0" fontId="4" fillId="0" borderId="31" xfId="0" applyFont="1" applyBorder="1" applyAlignment="1">
      <alignment horizontal="center" wrapText="1"/>
    </xf>
    <xf numFmtId="0" fontId="4" fillId="0" borderId="34" xfId="0" applyFont="1" applyBorder="1" applyAlignment="1">
      <alignment horizontal="center" wrapText="1"/>
    </xf>
    <xf numFmtId="0" fontId="3" fillId="0" borderId="34" xfId="3" applyFont="1" applyBorder="1" applyAlignment="1" applyProtection="1">
      <alignment horizontal="center" vertical="center" wrapText="1"/>
      <protection locked="0"/>
    </xf>
    <xf numFmtId="0" fontId="3" fillId="0" borderId="34" xfId="3" applyFont="1" applyFill="1" applyBorder="1" applyAlignment="1" applyProtection="1">
      <alignment horizontal="center" vertical="center" wrapText="1"/>
      <protection locked="0"/>
    </xf>
    <xf numFmtId="9" fontId="4" fillId="0" borderId="35" xfId="1" applyFont="1" applyBorder="1" applyAlignment="1" applyProtection="1">
      <alignment horizontal="center" vertical="center" wrapText="1"/>
    </xf>
    <xf numFmtId="9" fontId="6" fillId="0" borderId="36" xfId="1" applyFont="1" applyFill="1" applyBorder="1" applyAlignment="1" applyProtection="1">
      <alignment horizontal="center" vertical="center" wrapText="1"/>
    </xf>
    <xf numFmtId="9" fontId="6" fillId="0" borderId="37" xfId="1" applyFont="1" applyFill="1" applyBorder="1" applyAlignment="1" applyProtection="1">
      <alignment horizontal="center" vertical="center" wrapText="1"/>
    </xf>
    <xf numFmtId="9" fontId="6" fillId="0" borderId="38" xfId="1" applyFont="1" applyFill="1" applyBorder="1" applyAlignment="1" applyProtection="1">
      <alignment horizontal="center" vertical="center" wrapText="1"/>
    </xf>
    <xf numFmtId="9" fontId="4" fillId="0" borderId="17" xfId="1" applyFont="1" applyBorder="1" applyAlignment="1" applyProtection="1">
      <alignment horizontal="center" vertical="center" wrapText="1"/>
    </xf>
    <xf numFmtId="2" fontId="6" fillId="0" borderId="16" xfId="0" applyNumberFormat="1" applyFont="1" applyFill="1" applyBorder="1" applyAlignment="1" applyProtection="1">
      <alignment horizontal="center" vertical="center" wrapText="1"/>
    </xf>
    <xf numFmtId="164" fontId="3" fillId="0" borderId="21" xfId="3" applyNumberFormat="1" applyFont="1" applyBorder="1" applyAlignment="1" applyProtection="1">
      <alignment horizontal="center" vertical="center" wrapText="1"/>
      <protection locked="0"/>
    </xf>
    <xf numFmtId="164" fontId="3" fillId="0" borderId="21" xfId="3" applyNumberFormat="1" applyFont="1" applyFill="1" applyBorder="1" applyAlignment="1" applyProtection="1">
      <alignment horizontal="center" vertical="center" wrapText="1"/>
      <protection locked="0"/>
    </xf>
    <xf numFmtId="164" fontId="6" fillId="0" borderId="39" xfId="0" applyNumberFormat="1" applyFont="1" applyFill="1" applyBorder="1" applyAlignment="1" applyProtection="1">
      <alignment horizontal="center" vertical="center" wrapText="1"/>
    </xf>
    <xf numFmtId="0" fontId="4" fillId="0" borderId="40" xfId="0" applyFont="1" applyBorder="1" applyAlignment="1" applyProtection="1">
      <alignment vertical="center" wrapText="1"/>
      <protection locked="0"/>
    </xf>
    <xf numFmtId="43" fontId="6" fillId="3" borderId="41" xfId="0" applyNumberFormat="1" applyFont="1" applyFill="1" applyBorder="1" applyAlignment="1" applyProtection="1">
      <alignment horizontal="left" vertical="center" wrapText="1"/>
      <protection locked="0"/>
    </xf>
    <xf numFmtId="2" fontId="20" fillId="3" borderId="16" xfId="0" applyNumberFormat="1" applyFont="1" applyFill="1" applyBorder="1" applyAlignment="1" applyProtection="1">
      <alignment horizontal="center" vertical="center" wrapText="1"/>
      <protection locked="0"/>
    </xf>
    <xf numFmtId="164" fontId="20" fillId="3" borderId="26" xfId="0" applyNumberFormat="1" applyFont="1" applyFill="1" applyBorder="1" applyAlignment="1" applyProtection="1">
      <alignment horizontal="center" vertical="center" wrapText="1"/>
      <protection locked="0"/>
    </xf>
    <xf numFmtId="1" fontId="3" fillId="0" borderId="1" xfId="3"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0" xfId="0" applyFont="1" applyAlignment="1">
      <alignment horizontal="left" vertical="center"/>
    </xf>
    <xf numFmtId="164" fontId="3" fillId="0" borderId="37" xfId="3" applyNumberFormat="1" applyFont="1" applyBorder="1" applyAlignment="1" applyProtection="1">
      <alignment horizontal="center" vertical="center" wrapText="1"/>
      <protection locked="0"/>
    </xf>
    <xf numFmtId="164" fontId="3" fillId="0" borderId="37" xfId="3" applyNumberFormat="1" applyFont="1" applyFill="1" applyBorder="1" applyAlignment="1" applyProtection="1">
      <alignment horizontal="center" vertical="center" wrapText="1"/>
      <protection locked="0"/>
    </xf>
    <xf numFmtId="164" fontId="6" fillId="0" borderId="36" xfId="0" applyNumberFormat="1" applyFont="1" applyFill="1" applyBorder="1" applyAlignment="1" applyProtection="1">
      <alignment horizontal="center" vertical="center" wrapText="1"/>
    </xf>
    <xf numFmtId="164" fontId="4" fillId="0" borderId="17" xfId="0" applyNumberFormat="1" applyFont="1" applyBorder="1" applyAlignment="1" applyProtection="1">
      <alignment horizontal="center" vertical="center" wrapText="1"/>
    </xf>
    <xf numFmtId="164" fontId="6" fillId="0" borderId="37" xfId="0" applyNumberFormat="1" applyFont="1" applyFill="1" applyBorder="1" applyAlignment="1" applyProtection="1">
      <alignment horizontal="center" vertical="center" wrapText="1"/>
    </xf>
    <xf numFmtId="164" fontId="6" fillId="0" borderId="38" xfId="0" applyNumberFormat="1" applyFont="1" applyFill="1" applyBorder="1" applyAlignment="1" applyProtection="1">
      <alignment horizontal="center" vertical="center" wrapText="1"/>
    </xf>
    <xf numFmtId="0" fontId="3" fillId="0" borderId="21" xfId="3" applyFont="1" applyBorder="1" applyAlignment="1" applyProtection="1">
      <alignment horizontal="center" vertical="center" wrapText="1"/>
      <protection locked="0"/>
    </xf>
    <xf numFmtId="0" fontId="3" fillId="0" borderId="21" xfId="3" applyFont="1" applyFill="1" applyBorder="1" applyAlignment="1" applyProtection="1">
      <alignment horizontal="center" vertical="center" wrapText="1"/>
      <protection locked="0"/>
    </xf>
    <xf numFmtId="9" fontId="6" fillId="0" borderId="39" xfId="1" applyFont="1" applyFill="1" applyBorder="1" applyAlignment="1" applyProtection="1">
      <alignment horizontal="center" vertical="center" wrapText="1"/>
    </xf>
    <xf numFmtId="43" fontId="6" fillId="3" borderId="42" xfId="0" applyNumberFormat="1" applyFont="1" applyFill="1" applyBorder="1" applyAlignment="1" applyProtection="1">
      <alignment horizontal="left" vertical="center" wrapText="1"/>
      <protection locked="0"/>
    </xf>
    <xf numFmtId="43" fontId="6" fillId="3" borderId="34" xfId="0" applyNumberFormat="1" applyFont="1" applyFill="1" applyBorder="1" applyAlignment="1" applyProtection="1">
      <alignment horizontal="left" vertical="center" wrapText="1"/>
      <protection locked="0"/>
    </xf>
    <xf numFmtId="43" fontId="6" fillId="3" borderId="43" xfId="0" applyNumberFormat="1" applyFont="1" applyFill="1" applyBorder="1" applyAlignment="1" applyProtection="1">
      <alignment horizontal="left" vertical="center" wrapText="1"/>
      <protection locked="0"/>
    </xf>
    <xf numFmtId="2" fontId="6" fillId="0" borderId="1" xfId="0" applyNumberFormat="1" applyFont="1" applyFill="1" applyBorder="1" applyAlignment="1" applyProtection="1">
      <alignment horizontal="center" vertical="center" wrapText="1"/>
    </xf>
    <xf numFmtId="0" fontId="4" fillId="0" borderId="48" xfId="0" applyFont="1" applyBorder="1" applyAlignment="1" applyProtection="1">
      <alignment vertical="center" wrapText="1"/>
      <protection locked="0"/>
    </xf>
    <xf numFmtId="164" fontId="20" fillId="3" borderId="8" xfId="0" applyNumberFormat="1" applyFont="1" applyFill="1" applyBorder="1" applyAlignment="1" applyProtection="1">
      <alignment horizontal="center" vertical="center" wrapText="1"/>
      <protection locked="0"/>
    </xf>
    <xf numFmtId="0" fontId="5" fillId="0" borderId="50" xfId="0" applyFont="1" applyFill="1" applyBorder="1" applyAlignment="1" applyProtection="1">
      <alignment horizontal="center" vertical="center" wrapText="1"/>
      <protection locked="0"/>
    </xf>
    <xf numFmtId="0" fontId="15" fillId="0" borderId="22" xfId="0" applyFont="1" applyBorder="1" applyAlignment="1">
      <alignment horizontal="left"/>
    </xf>
    <xf numFmtId="0" fontId="15" fillId="0" borderId="30" xfId="0" applyFont="1" applyBorder="1" applyAlignment="1">
      <alignment horizontal="left"/>
    </xf>
    <xf numFmtId="0" fontId="15" fillId="0" borderId="31" xfId="0" applyFont="1" applyBorder="1" applyAlignment="1">
      <alignment horizontal="left"/>
    </xf>
    <xf numFmtId="0" fontId="4" fillId="0" borderId="0" xfId="0" applyFont="1" applyAlignment="1">
      <alignment horizontal="left" vertical="center"/>
    </xf>
    <xf numFmtId="0" fontId="4" fillId="0" borderId="18"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49" xfId="0" applyFont="1" applyBorder="1" applyAlignment="1">
      <alignment horizontal="center" vertical="center" textRotation="90"/>
    </xf>
    <xf numFmtId="0" fontId="4" fillId="0" borderId="32" xfId="0" applyFont="1" applyBorder="1" applyAlignment="1">
      <alignment horizontal="left"/>
    </xf>
    <xf numFmtId="0" fontId="4" fillId="0" borderId="30" xfId="0" applyFont="1" applyBorder="1" applyAlignment="1">
      <alignment horizontal="left"/>
    </xf>
    <xf numFmtId="0" fontId="4" fillId="0" borderId="16" xfId="0" applyFont="1" applyBorder="1" applyAlignment="1">
      <alignment horizontal="center"/>
    </xf>
    <xf numFmtId="0" fontId="4" fillId="0" borderId="5" xfId="0" applyFont="1" applyBorder="1" applyAlignment="1">
      <alignment horizontal="center"/>
    </xf>
    <xf numFmtId="0" fontId="3" fillId="0" borderId="18"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1" fontId="3" fillId="0" borderId="31" xfId="3" applyNumberFormat="1" applyFont="1" applyBorder="1" applyAlignment="1" applyProtection="1">
      <alignment horizontal="center" vertical="center" wrapText="1"/>
      <protection locked="0"/>
    </xf>
    <xf numFmtId="1" fontId="3" fillId="0" borderId="34" xfId="3" applyNumberFormat="1" applyFont="1" applyBorder="1" applyAlignment="1" applyProtection="1">
      <alignment horizontal="center" vertical="center" wrapText="1"/>
      <protection locked="0"/>
    </xf>
    <xf numFmtId="0" fontId="4" fillId="0" borderId="1" xfId="0" applyFont="1" applyBorder="1" applyAlignment="1">
      <alignment horizontal="center"/>
    </xf>
    <xf numFmtId="1" fontId="3" fillId="0" borderId="1" xfId="3"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0" borderId="1" xfId="2" applyFont="1" applyBorder="1" applyAlignment="1" applyProtection="1">
      <alignment horizontal="center" vertical="center" wrapText="1"/>
      <protection locked="0"/>
    </xf>
    <xf numFmtId="0" fontId="3" fillId="0" borderId="1" xfId="3" applyFont="1" applyBorder="1" applyAlignment="1" applyProtection="1">
      <alignment horizontal="center" vertical="center" wrapText="1"/>
      <protection locked="0"/>
    </xf>
    <xf numFmtId="2" fontId="3" fillId="0" borderId="1" xfId="3" applyNumberFormat="1" applyFont="1" applyBorder="1" applyAlignment="1" applyProtection="1">
      <alignment horizontal="center" vertical="center" wrapText="1"/>
      <protection locked="0"/>
    </xf>
    <xf numFmtId="0" fontId="4" fillId="0" borderId="44" xfId="0" applyFont="1" applyBorder="1" applyAlignment="1">
      <alignment horizontal="center" wrapText="1"/>
    </xf>
    <xf numFmtId="0" fontId="4" fillId="0" borderId="45" xfId="0" applyFont="1" applyBorder="1" applyAlignment="1">
      <alignment horizontal="center" wrapText="1"/>
    </xf>
    <xf numFmtId="0" fontId="4" fillId="0" borderId="46" xfId="0" applyFont="1" applyBorder="1" applyAlignment="1">
      <alignment horizontal="center" wrapText="1"/>
    </xf>
    <xf numFmtId="0" fontId="4" fillId="0" borderId="39" xfId="0" applyFont="1" applyBorder="1" applyAlignment="1">
      <alignment horizontal="center" wrapText="1"/>
    </xf>
    <xf numFmtId="0" fontId="4" fillId="0" borderId="36" xfId="0" applyFont="1" applyBorder="1" applyAlignment="1">
      <alignment horizontal="center" wrapText="1"/>
    </xf>
    <xf numFmtId="0" fontId="4" fillId="0" borderId="47" xfId="0" applyFont="1" applyBorder="1" applyAlignment="1">
      <alignment horizontal="center" wrapText="1"/>
    </xf>
    <xf numFmtId="0" fontId="4" fillId="0" borderId="4" xfId="0" applyFont="1" applyBorder="1" applyAlignment="1">
      <alignment horizontal="center" vertical="center" textRotation="90"/>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1" xfId="0" applyFont="1" applyBorder="1" applyAlignment="1">
      <alignment horizontal="center" wrapText="1"/>
    </xf>
    <xf numFmtId="0" fontId="4" fillId="0" borderId="8" xfId="0" applyFont="1" applyBorder="1" applyAlignment="1">
      <alignment horizontal="center" wrapText="1"/>
    </xf>
    <xf numFmtId="1" fontId="3" fillId="0" borderId="23" xfId="3" applyNumberFormat="1" applyFont="1" applyBorder="1" applyAlignment="1" applyProtection="1">
      <alignment horizontal="center" vertical="center" wrapText="1"/>
      <protection locked="0"/>
    </xf>
    <xf numFmtId="1" fontId="3" fillId="0" borderId="24" xfId="3" applyNumberFormat="1" applyFont="1" applyBorder="1" applyAlignment="1" applyProtection="1">
      <alignment horizontal="center" vertical="center" wrapText="1"/>
      <protection locked="0"/>
    </xf>
    <xf numFmtId="0" fontId="0" fillId="2" borderId="28" xfId="0" quotePrefix="1" applyFont="1" applyFill="1" applyBorder="1" applyAlignment="1">
      <alignment horizontal="left" vertical="center"/>
    </xf>
    <xf numFmtId="0" fontId="0" fillId="2" borderId="16" xfId="0" quotePrefix="1" applyFont="1" applyFill="1" applyBorder="1" applyAlignment="1">
      <alignment horizontal="left" vertical="center"/>
    </xf>
    <xf numFmtId="0" fontId="0" fillId="2" borderId="2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9" xfId="0" quotePrefix="1" applyFont="1" applyFill="1" applyBorder="1" applyAlignment="1">
      <alignment horizontal="left" vertical="center"/>
    </xf>
    <xf numFmtId="0" fontId="0" fillId="2" borderId="29" xfId="0" applyFont="1" applyFill="1" applyBorder="1" applyAlignment="1">
      <alignment horizontal="center" vertical="center"/>
    </xf>
  </cellXfs>
  <cellStyles count="4">
    <cellStyle name="Normal" xfId="0" builtinId="0"/>
    <cellStyle name="Normal 2" xfId="3"/>
    <cellStyle name="Normal 3" xfId="2"/>
    <cellStyle name="Percent" xfId="1" builtinId="5"/>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25</xdr:col>
      <xdr:colOff>206363</xdr:colOff>
      <xdr:row>0</xdr:row>
      <xdr:rowOff>102133</xdr:rowOff>
    </xdr:from>
    <xdr:ext cx="1567488" cy="902913"/>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07963" y="102133"/>
          <a:ext cx="1567488" cy="902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78441</xdr:colOff>
      <xdr:row>31</xdr:row>
      <xdr:rowOff>89648</xdr:rowOff>
    </xdr:from>
    <xdr:ext cx="12576236" cy="5457264"/>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8041" y="5614148"/>
          <a:ext cx="12576236" cy="54572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23</xdr:col>
      <xdr:colOff>206363</xdr:colOff>
      <xdr:row>0</xdr:row>
      <xdr:rowOff>102133</xdr:rowOff>
    </xdr:from>
    <xdr:ext cx="1567488" cy="902913"/>
    <xdr:pic>
      <xdr:nvPicPr>
        <xdr:cNvPr id="2" name="Picture 3">
          <a:extLst>
            <a:ext uri="{FF2B5EF4-FFF2-40B4-BE49-F238E27FC236}">
              <a16:creationId xmlns:a16="http://schemas.microsoft.com/office/drawing/2014/main" id="{8093E4AA-DFDC-4F0A-82E1-EF03476D03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66513" y="102133"/>
          <a:ext cx="1567488" cy="902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78441</xdr:colOff>
      <xdr:row>31</xdr:row>
      <xdr:rowOff>89648</xdr:rowOff>
    </xdr:from>
    <xdr:ext cx="12576236" cy="5457264"/>
    <xdr:pic>
      <xdr:nvPicPr>
        <xdr:cNvPr id="3" name="Picture 2">
          <a:extLst>
            <a:ext uri="{FF2B5EF4-FFF2-40B4-BE49-F238E27FC236}">
              <a16:creationId xmlns:a16="http://schemas.microsoft.com/office/drawing/2014/main" id="{3F0BD2A1-4196-4C00-957D-3780FBA89C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41" y="11716498"/>
          <a:ext cx="12576236" cy="54572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topLeftCell="A33" zoomScale="85" zoomScaleNormal="85" zoomScaleSheetLayoutView="85" zoomScalePageLayoutView="60" workbookViewId="0">
      <selection activeCell="C29" sqref="C29"/>
    </sheetView>
  </sheetViews>
  <sheetFormatPr defaultColWidth="9.140625" defaultRowHeight="15" x14ac:dyDescent="0.25"/>
  <cols>
    <col min="1" max="1" width="4.7109375" style="46" customWidth="1"/>
    <col min="2" max="3" width="16.42578125" style="46" customWidth="1"/>
    <col min="4" max="4" width="16.28515625" style="46" customWidth="1"/>
    <col min="5" max="5" width="14" style="46" customWidth="1"/>
    <col min="6" max="7" width="15" style="46" customWidth="1"/>
    <col min="8" max="8" width="18.140625" style="46" customWidth="1"/>
    <col min="9" max="17" width="13.140625" style="46" customWidth="1"/>
    <col min="18" max="20" width="18.140625" style="46" customWidth="1"/>
    <col min="21" max="25" width="21.5703125" style="46" customWidth="1"/>
    <col min="26" max="26" width="28.5703125" style="46" customWidth="1"/>
    <col min="27" max="16384" width="9.140625" style="46"/>
  </cols>
  <sheetData>
    <row r="1" spans="1:26" s="24" customFormat="1" ht="16.5" customHeight="1" x14ac:dyDescent="0.35">
      <c r="D1" s="25"/>
      <c r="E1" s="26"/>
      <c r="F1" s="27"/>
      <c r="G1" s="28"/>
      <c r="K1" s="29"/>
      <c r="L1" s="107" t="s">
        <v>0</v>
      </c>
      <c r="M1" s="30"/>
      <c r="N1" s="31"/>
    </row>
    <row r="2" spans="1:26" s="24" customFormat="1" ht="16.5" customHeight="1" x14ac:dyDescent="0.35">
      <c r="D2" s="25"/>
      <c r="E2" s="26"/>
      <c r="F2" s="32"/>
      <c r="G2" s="28"/>
      <c r="K2" s="33"/>
      <c r="L2" s="108" t="s">
        <v>1</v>
      </c>
      <c r="M2" s="34"/>
      <c r="N2" s="35"/>
    </row>
    <row r="3" spans="1:26" s="24" customFormat="1" ht="16.5" customHeight="1" x14ac:dyDescent="0.35">
      <c r="D3" s="25"/>
      <c r="E3" s="26"/>
      <c r="F3" s="36"/>
      <c r="G3" s="28"/>
      <c r="K3" s="38"/>
      <c r="L3" s="109" t="s">
        <v>2</v>
      </c>
      <c r="M3" s="39"/>
      <c r="N3" s="40"/>
    </row>
    <row r="4" spans="1:26" s="24" customFormat="1" ht="16.5" customHeight="1" x14ac:dyDescent="0.35">
      <c r="A4" s="160" t="s">
        <v>3</v>
      </c>
      <c r="B4" s="160"/>
      <c r="C4" s="106" t="s">
        <v>4</v>
      </c>
      <c r="D4" s="25"/>
      <c r="E4" s="26"/>
      <c r="F4" s="36"/>
      <c r="G4" s="28"/>
      <c r="K4" s="38"/>
      <c r="L4" s="37"/>
      <c r="M4" s="39"/>
      <c r="N4" s="40"/>
      <c r="R4" s="140" t="s">
        <v>5</v>
      </c>
      <c r="S4" s="106" t="s">
        <v>6</v>
      </c>
      <c r="T4" s="106"/>
    </row>
    <row r="5" spans="1:26" s="24" customFormat="1" ht="16.5" customHeight="1" x14ac:dyDescent="0.35">
      <c r="A5" s="140" t="s">
        <v>7</v>
      </c>
      <c r="B5" s="140"/>
      <c r="C5" s="106" t="s">
        <v>8</v>
      </c>
      <c r="D5" s="25"/>
      <c r="E5" s="26"/>
      <c r="F5" s="36"/>
      <c r="G5" s="28"/>
      <c r="K5" s="38"/>
      <c r="L5" s="37"/>
      <c r="M5" s="39"/>
      <c r="N5" s="40"/>
      <c r="R5" s="110" t="s">
        <v>9</v>
      </c>
      <c r="S5" s="106" t="s">
        <v>10</v>
      </c>
      <c r="T5" s="106"/>
    </row>
    <row r="6" spans="1:26" s="24" customFormat="1" ht="16.5" customHeight="1" x14ac:dyDescent="0.35">
      <c r="A6" s="140" t="s">
        <v>11</v>
      </c>
      <c r="B6" s="140"/>
      <c r="C6" s="106" t="s">
        <v>12</v>
      </c>
      <c r="D6" s="25"/>
      <c r="E6" s="26"/>
      <c r="F6" s="36"/>
      <c r="G6" s="28"/>
      <c r="K6" s="38"/>
      <c r="L6" s="37"/>
      <c r="M6" s="39"/>
      <c r="N6" s="40"/>
      <c r="R6" s="110" t="s">
        <v>13</v>
      </c>
      <c r="S6" s="106" t="s">
        <v>14</v>
      </c>
      <c r="T6" s="106"/>
    </row>
    <row r="7" spans="1:26" s="24" customFormat="1" ht="16.5" customHeight="1" x14ac:dyDescent="0.35">
      <c r="D7" s="42"/>
      <c r="E7" s="26"/>
      <c r="F7" s="41"/>
      <c r="G7" s="28"/>
      <c r="K7" s="43"/>
      <c r="M7" s="41"/>
      <c r="N7" s="44"/>
      <c r="O7" s="45"/>
    </row>
    <row r="8" spans="1:26" s="24" customFormat="1" ht="16.5" customHeight="1" thickBot="1" x14ac:dyDescent="0.4">
      <c r="A8" s="99"/>
      <c r="B8" s="99"/>
      <c r="C8" s="56"/>
      <c r="D8" s="42"/>
      <c r="E8" s="26"/>
      <c r="F8" s="41"/>
      <c r="G8" s="28"/>
      <c r="K8" s="43"/>
      <c r="L8" s="105" t="s">
        <v>15</v>
      </c>
      <c r="M8" s="41"/>
      <c r="N8" s="44"/>
      <c r="O8" s="45"/>
    </row>
    <row r="9" spans="1:26" ht="16.5" customHeight="1" thickBot="1" x14ac:dyDescent="0.3">
      <c r="A9" s="165" t="s">
        <v>16</v>
      </c>
      <c r="B9" s="166"/>
      <c r="C9" s="157" t="s">
        <v>17</v>
      </c>
      <c r="D9" s="158"/>
      <c r="E9" s="159"/>
      <c r="F9" s="103"/>
      <c r="G9" s="104"/>
    </row>
    <row r="10" spans="1:26" ht="15.6" customHeight="1" x14ac:dyDescent="0.25">
      <c r="A10" s="169" t="s">
        <v>18</v>
      </c>
      <c r="B10" s="170"/>
      <c r="C10" s="167" t="s">
        <v>19</v>
      </c>
      <c r="D10" s="167"/>
      <c r="E10" s="167"/>
      <c r="F10" s="167"/>
      <c r="G10" s="167"/>
      <c r="H10" s="168" t="s">
        <v>20</v>
      </c>
      <c r="I10" s="168"/>
      <c r="J10" s="168"/>
      <c r="K10" s="168"/>
      <c r="L10" s="168"/>
      <c r="M10" s="168"/>
      <c r="N10" s="168"/>
      <c r="O10" s="168"/>
      <c r="P10" s="168"/>
      <c r="Q10" s="168"/>
      <c r="R10" s="182" t="s">
        <v>21</v>
      </c>
      <c r="S10" s="183"/>
      <c r="T10" s="183"/>
      <c r="U10" s="183"/>
      <c r="V10" s="184"/>
      <c r="W10" s="182" t="s">
        <v>22</v>
      </c>
      <c r="X10" s="183"/>
      <c r="Y10" s="184"/>
      <c r="Z10" s="174" t="s">
        <v>23</v>
      </c>
    </row>
    <row r="11" spans="1:26" ht="15" customHeight="1" x14ac:dyDescent="0.25">
      <c r="A11" s="171"/>
      <c r="B11" s="172"/>
      <c r="C11" s="178" t="s">
        <v>24</v>
      </c>
      <c r="D11" s="179" t="s">
        <v>25</v>
      </c>
      <c r="E11" s="178" t="s">
        <v>26</v>
      </c>
      <c r="F11" s="180" t="s">
        <v>27</v>
      </c>
      <c r="G11" s="181" t="s">
        <v>28</v>
      </c>
      <c r="H11" s="177" t="s">
        <v>29</v>
      </c>
      <c r="I11" s="176" t="s">
        <v>30</v>
      </c>
      <c r="J11" s="176"/>
      <c r="K11" s="176"/>
      <c r="L11" s="176" t="s">
        <v>31</v>
      </c>
      <c r="M11" s="176"/>
      <c r="N11" s="176"/>
      <c r="O11" s="176" t="s">
        <v>32</v>
      </c>
      <c r="P11" s="176"/>
      <c r="Q11" s="176"/>
      <c r="R11" s="185"/>
      <c r="S11" s="186"/>
      <c r="T11" s="186"/>
      <c r="U11" s="186"/>
      <c r="V11" s="187"/>
      <c r="W11" s="185"/>
      <c r="X11" s="186"/>
      <c r="Y11" s="187"/>
      <c r="Z11" s="175"/>
    </row>
    <row r="12" spans="1:26" s="47" customFormat="1" ht="68.45" customHeight="1" x14ac:dyDescent="0.25">
      <c r="A12" s="171"/>
      <c r="B12" s="172"/>
      <c r="C12" s="178"/>
      <c r="D12" s="179"/>
      <c r="E12" s="178"/>
      <c r="F12" s="180"/>
      <c r="G12" s="181"/>
      <c r="H12" s="177"/>
      <c r="I12" s="138" t="s">
        <v>33</v>
      </c>
      <c r="J12" s="138" t="s">
        <v>34</v>
      </c>
      <c r="K12" s="138" t="s">
        <v>35</v>
      </c>
      <c r="L12" s="139" t="s">
        <v>36</v>
      </c>
      <c r="M12" s="139" t="s">
        <v>37</v>
      </c>
      <c r="N12" s="139" t="s">
        <v>38</v>
      </c>
      <c r="O12" s="139" t="s">
        <v>39</v>
      </c>
      <c r="P12" s="139" t="s">
        <v>40</v>
      </c>
      <c r="Q12" s="139" t="s">
        <v>41</v>
      </c>
      <c r="R12" s="138" t="s">
        <v>42</v>
      </c>
      <c r="S12" s="138" t="s">
        <v>43</v>
      </c>
      <c r="T12" s="147" t="s">
        <v>44</v>
      </c>
      <c r="U12" s="13" t="s">
        <v>45</v>
      </c>
      <c r="V12" s="13" t="s">
        <v>45</v>
      </c>
      <c r="W12" s="141" t="s">
        <v>46</v>
      </c>
      <c r="X12" s="13" t="s">
        <v>45</v>
      </c>
      <c r="Y12" s="13" t="s">
        <v>45</v>
      </c>
      <c r="Z12" s="175"/>
    </row>
    <row r="13" spans="1:26" s="48" customFormat="1" ht="20.100000000000001" customHeight="1" thickBot="1" x14ac:dyDescent="0.3">
      <c r="A13" s="173"/>
      <c r="B13" s="172"/>
      <c r="C13" s="82" t="s">
        <v>47</v>
      </c>
      <c r="D13" s="83" t="s">
        <v>48</v>
      </c>
      <c r="E13" s="84" t="s">
        <v>47</v>
      </c>
      <c r="F13" s="85" t="s">
        <v>49</v>
      </c>
      <c r="G13" s="84" t="s">
        <v>50</v>
      </c>
      <c r="H13" s="84" t="s">
        <v>48</v>
      </c>
      <c r="I13" s="84" t="s">
        <v>47</v>
      </c>
      <c r="J13" s="84" t="s">
        <v>51</v>
      </c>
      <c r="K13" s="86" t="s">
        <v>48</v>
      </c>
      <c r="L13" s="87" t="s">
        <v>49</v>
      </c>
      <c r="M13" s="84" t="s">
        <v>52</v>
      </c>
      <c r="N13" s="82" t="s">
        <v>48</v>
      </c>
      <c r="O13" s="84" t="s">
        <v>49</v>
      </c>
      <c r="P13" s="84" t="s">
        <v>52</v>
      </c>
      <c r="Q13" s="82" t="s">
        <v>48</v>
      </c>
      <c r="R13" s="84" t="s">
        <v>48</v>
      </c>
      <c r="S13" s="84" t="s">
        <v>48</v>
      </c>
      <c r="T13" s="148" t="s">
        <v>52</v>
      </c>
      <c r="U13" s="88" t="s">
        <v>48</v>
      </c>
      <c r="V13" s="88" t="s">
        <v>53</v>
      </c>
      <c r="W13" s="142" t="s">
        <v>50</v>
      </c>
      <c r="X13" s="88" t="s">
        <v>48</v>
      </c>
      <c r="Y13" s="88" t="s">
        <v>53</v>
      </c>
      <c r="Z13" s="175"/>
    </row>
    <row r="14" spans="1:26" s="47" customFormat="1" ht="75.599999999999994" customHeight="1" thickBot="1" x14ac:dyDescent="0.3">
      <c r="A14" s="164" t="s">
        <v>54</v>
      </c>
      <c r="B14" s="156" t="s">
        <v>55</v>
      </c>
      <c r="C14" s="74">
        <v>43560</v>
      </c>
      <c r="D14" s="75">
        <f>C14*(1.25/12)</f>
        <v>4537.5</v>
      </c>
      <c r="E14" s="76">
        <v>2420</v>
      </c>
      <c r="F14" s="76">
        <f>SQRT(E14)*4</f>
        <v>196.7739820199815</v>
      </c>
      <c r="G14" s="77">
        <v>0</v>
      </c>
      <c r="H14" s="78">
        <v>0</v>
      </c>
      <c r="I14" s="68">
        <f>0.75*E14</f>
        <v>1815</v>
      </c>
      <c r="J14" s="62">
        <v>2</v>
      </c>
      <c r="K14" s="63">
        <f>I14*J14/12</f>
        <v>302.5</v>
      </c>
      <c r="L14" s="61">
        <v>2</v>
      </c>
      <c r="M14" s="62">
        <v>25</v>
      </c>
      <c r="N14" s="79">
        <f>E14*L14*(M14/100)</f>
        <v>1210</v>
      </c>
      <c r="O14" s="77">
        <v>2.5</v>
      </c>
      <c r="P14" s="62">
        <v>50</v>
      </c>
      <c r="Q14" s="79">
        <f>E14*O14*(P14/100)</f>
        <v>3025</v>
      </c>
      <c r="R14" s="80">
        <f>G14*8*(E14+F14*(L14+O14-1.25))/12</f>
        <v>0</v>
      </c>
      <c r="S14" s="80">
        <f>N14+Q14+K14+H14</f>
        <v>4537.5</v>
      </c>
      <c r="T14" s="149">
        <f>IFERROR((S14/D14),0)</f>
        <v>1</v>
      </c>
      <c r="U14" s="5">
        <f>R14+S14</f>
        <v>4537.5</v>
      </c>
      <c r="V14" s="5">
        <f>U14*7.48</f>
        <v>33940.5</v>
      </c>
      <c r="W14" s="153">
        <v>0</v>
      </c>
      <c r="X14" s="5">
        <f>S14+W14*8*(E14+F14*(L14+O14-1.25))/12</f>
        <v>4537.5</v>
      </c>
      <c r="Y14" s="5">
        <f>X14*7.48</f>
        <v>33940.5</v>
      </c>
      <c r="Z14" s="150" t="s">
        <v>56</v>
      </c>
    </row>
    <row r="15" spans="1:26" s="47" customFormat="1" ht="137.1" customHeight="1" thickBot="1" x14ac:dyDescent="0.3">
      <c r="A15" s="164"/>
      <c r="B15" s="156" t="s">
        <v>57</v>
      </c>
      <c r="C15" s="74">
        <v>43560</v>
      </c>
      <c r="D15" s="75">
        <f>C15*(1.25/12)</f>
        <v>4537.5</v>
      </c>
      <c r="E15" s="76">
        <v>2420</v>
      </c>
      <c r="F15" s="76">
        <f>SQRT(E15)*4</f>
        <v>196.7739820199815</v>
      </c>
      <c r="G15" s="77">
        <v>0.5</v>
      </c>
      <c r="H15" s="78">
        <v>0</v>
      </c>
      <c r="I15" s="68">
        <f>0.75*E15</f>
        <v>1815</v>
      </c>
      <c r="J15" s="62">
        <v>2</v>
      </c>
      <c r="K15" s="63">
        <f>I15*J15/12</f>
        <v>302.5</v>
      </c>
      <c r="L15" s="61">
        <v>2</v>
      </c>
      <c r="M15" s="62">
        <v>25</v>
      </c>
      <c r="N15" s="79">
        <f>E15*L15*(M15/100)</f>
        <v>1210</v>
      </c>
      <c r="O15" s="77">
        <v>2.5</v>
      </c>
      <c r="P15" s="62">
        <v>50</v>
      </c>
      <c r="Q15" s="79">
        <f>E15*O15*(P15/100)</f>
        <v>3025</v>
      </c>
      <c r="R15" s="80">
        <f>G15*8*(E15+F15*(L15+O15-1.25))/12</f>
        <v>1019.8384805216466</v>
      </c>
      <c r="S15" s="80">
        <f>N15+Q15+K15+H15</f>
        <v>4537.5</v>
      </c>
      <c r="T15" s="149">
        <f t="shared" ref="T15:T16" si="0">IFERROR((S15/D15),0)</f>
        <v>1</v>
      </c>
      <c r="U15" s="5">
        <f t="shared" ref="U15:U16" si="1">R15+S15</f>
        <v>5557.3384805216465</v>
      </c>
      <c r="V15" s="5">
        <f t="shared" ref="V15:V16" si="2">U15*7.48</f>
        <v>41568.891834301918</v>
      </c>
      <c r="W15" s="153">
        <v>0.5</v>
      </c>
      <c r="X15" s="5">
        <f t="shared" ref="X15:X16" si="3">S15+W15*8*(E15+F15*(L15+O15-1.25))/12</f>
        <v>5557.3384805216465</v>
      </c>
      <c r="Y15" s="5">
        <f t="shared" ref="Y15:Y16" si="4">X15*7.48</f>
        <v>41568.891834301918</v>
      </c>
      <c r="Z15" s="151"/>
    </row>
    <row r="16" spans="1:26" s="47" customFormat="1" ht="95.25" thickBot="1" x14ac:dyDescent="0.3">
      <c r="A16" s="164"/>
      <c r="B16" s="156" t="s">
        <v>58</v>
      </c>
      <c r="C16" s="74">
        <v>43560</v>
      </c>
      <c r="D16" s="75">
        <f>C16*(1.25/12)</f>
        <v>4537.5</v>
      </c>
      <c r="E16" s="76">
        <v>2420</v>
      </c>
      <c r="F16" s="76">
        <f>SQRT(E16)*4</f>
        <v>196.7739820199815</v>
      </c>
      <c r="G16" s="77">
        <v>1</v>
      </c>
      <c r="H16" s="78">
        <v>0</v>
      </c>
      <c r="I16" s="68">
        <f>0.75*E16</f>
        <v>1815</v>
      </c>
      <c r="J16" s="62">
        <v>2</v>
      </c>
      <c r="K16" s="63">
        <f>I16*J16/12</f>
        <v>302.5</v>
      </c>
      <c r="L16" s="61">
        <v>2</v>
      </c>
      <c r="M16" s="62">
        <v>25</v>
      </c>
      <c r="N16" s="79">
        <f>E16*L16*(M16/100)</f>
        <v>1210</v>
      </c>
      <c r="O16" s="77">
        <v>2.5</v>
      </c>
      <c r="P16" s="62">
        <v>50</v>
      </c>
      <c r="Q16" s="79">
        <f>E16*O16*(P16/100)</f>
        <v>3025</v>
      </c>
      <c r="R16" s="80">
        <f>G16*8*(E16+F16*(L16+O16-1.25))/12</f>
        <v>2039.6769610432932</v>
      </c>
      <c r="S16" s="80">
        <f>N16+Q16+K16+H16</f>
        <v>4537.5</v>
      </c>
      <c r="T16" s="149">
        <f t="shared" si="0"/>
        <v>1</v>
      </c>
      <c r="U16" s="5">
        <f t="shared" si="1"/>
        <v>6577.176961043293</v>
      </c>
      <c r="V16" s="5">
        <f t="shared" si="2"/>
        <v>49197.283668603835</v>
      </c>
      <c r="W16" s="153">
        <v>1</v>
      </c>
      <c r="X16" s="5">
        <f t="shared" si="3"/>
        <v>6577.176961043293</v>
      </c>
      <c r="Y16" s="5">
        <f t="shared" si="4"/>
        <v>49197.283668603835</v>
      </c>
      <c r="Z16" s="152"/>
    </row>
    <row r="17" spans="1:26" s="47" customFormat="1" ht="16.5" thickBot="1" x14ac:dyDescent="0.3">
      <c r="A17" s="164"/>
      <c r="B17" s="156"/>
      <c r="C17" s="74"/>
      <c r="D17" s="75"/>
      <c r="E17" s="76"/>
      <c r="F17" s="76"/>
      <c r="G17" s="77"/>
      <c r="H17" s="78"/>
      <c r="I17" s="68"/>
      <c r="J17" s="62"/>
      <c r="K17" s="63"/>
      <c r="L17" s="61"/>
      <c r="M17" s="62"/>
      <c r="N17" s="79"/>
      <c r="O17" s="77"/>
      <c r="P17" s="62"/>
      <c r="Q17" s="79"/>
      <c r="R17" s="80"/>
      <c r="S17" s="80"/>
      <c r="T17" s="149"/>
      <c r="U17" s="5"/>
      <c r="V17" s="5"/>
      <c r="W17" s="5"/>
      <c r="X17" s="5"/>
      <c r="Y17" s="5"/>
      <c r="Z17" s="155"/>
    </row>
    <row r="18" spans="1:26" s="47" customFormat="1" ht="16.5" thickBot="1" x14ac:dyDescent="0.3">
      <c r="A18" s="164"/>
      <c r="B18" s="156"/>
      <c r="C18" s="74"/>
      <c r="D18" s="75"/>
      <c r="E18" s="76"/>
      <c r="F18" s="76"/>
      <c r="G18" s="77"/>
      <c r="H18" s="78"/>
      <c r="I18" s="68"/>
      <c r="J18" s="62"/>
      <c r="K18" s="63"/>
      <c r="L18" s="61"/>
      <c r="M18" s="62"/>
      <c r="N18" s="79"/>
      <c r="O18" s="77"/>
      <c r="P18" s="62"/>
      <c r="Q18" s="79"/>
      <c r="R18" s="80"/>
      <c r="S18" s="80"/>
      <c r="T18" s="149"/>
      <c r="U18" s="5"/>
      <c r="V18" s="5"/>
      <c r="W18" s="5"/>
      <c r="X18" s="5"/>
      <c r="Y18" s="5"/>
      <c r="Z18" s="155"/>
    </row>
    <row r="19" spans="1:26" s="47" customFormat="1" ht="35.1" hidden="1" customHeight="1" thickTop="1" thickBot="1" x14ac:dyDescent="0.3">
      <c r="A19" s="164"/>
      <c r="B19" s="72" t="s">
        <v>59</v>
      </c>
      <c r="C19" s="54"/>
      <c r="D19" s="55"/>
      <c r="E19" s="21"/>
      <c r="F19" s="21"/>
      <c r="G19" s="65"/>
      <c r="H19" s="57"/>
      <c r="I19" s="72"/>
      <c r="J19" s="72"/>
      <c r="K19" s="72"/>
      <c r="L19" s="58"/>
      <c r="M19" s="66"/>
      <c r="N19" s="58"/>
      <c r="O19" s="72"/>
      <c r="P19" s="64"/>
      <c r="Q19" s="21"/>
      <c r="R19" s="70"/>
      <c r="S19" s="22"/>
      <c r="T19" s="134"/>
      <c r="U19" s="55"/>
      <c r="V19" s="144"/>
      <c r="W19" s="144"/>
      <c r="X19" s="144"/>
      <c r="Y19" s="144"/>
      <c r="Z19" s="154"/>
    </row>
    <row r="20" spans="1:26" s="47" customFormat="1" ht="35.1" hidden="1" customHeight="1" x14ac:dyDescent="0.25">
      <c r="A20" s="161" t="s">
        <v>60</v>
      </c>
      <c r="B20" s="73" t="s">
        <v>61</v>
      </c>
      <c r="C20" s="14">
        <f>C14</f>
        <v>43560</v>
      </c>
      <c r="D20" s="15">
        <f>C20*(1.25/12)</f>
        <v>4537.5</v>
      </c>
      <c r="E20" s="76">
        <f>C20/4/12/0.4</f>
        <v>2268.75</v>
      </c>
      <c r="F20" s="76">
        <f>SQRT(E20)*4</f>
        <v>190.52558883257649</v>
      </c>
      <c r="G20" s="18">
        <v>0</v>
      </c>
      <c r="H20" s="7">
        <v>0</v>
      </c>
      <c r="I20" s="68">
        <f>0.75*E20</f>
        <v>1701.5625</v>
      </c>
      <c r="J20" s="16">
        <v>2</v>
      </c>
      <c r="K20" s="19">
        <f>I20*J20/12</f>
        <v>283.59375</v>
      </c>
      <c r="L20" s="61">
        <v>2</v>
      </c>
      <c r="M20" s="62">
        <v>25</v>
      </c>
      <c r="N20" s="17">
        <f>E20*L20*(M20/100)</f>
        <v>1134.375</v>
      </c>
      <c r="O20" s="77">
        <v>2.5</v>
      </c>
      <c r="P20" s="16">
        <v>50</v>
      </c>
      <c r="Q20" s="17">
        <f>E20*O20*(P20/100)</f>
        <v>2835.9375</v>
      </c>
      <c r="R20" s="80">
        <f>G20*8*(E20+F20*(L20+O20-1.25))/12</f>
        <v>0</v>
      </c>
      <c r="S20" s="20">
        <f>N20+Q20+K20+H20</f>
        <v>4253.90625</v>
      </c>
      <c r="T20" s="20"/>
      <c r="U20" s="20">
        <f>R20+S20</f>
        <v>4253.90625</v>
      </c>
      <c r="V20" s="143"/>
      <c r="W20" s="143"/>
      <c r="X20" s="143"/>
      <c r="Y20" s="143"/>
      <c r="Z20" s="94"/>
    </row>
    <row r="21" spans="1:26" s="47" customFormat="1" ht="35.1" hidden="1" customHeight="1" x14ac:dyDescent="0.25">
      <c r="A21" s="162"/>
      <c r="B21" s="111" t="s">
        <v>62</v>
      </c>
      <c r="C21" s="6">
        <v>0</v>
      </c>
      <c r="D21" s="2">
        <f t="shared" ref="D21:D22" si="5">C21*(1.25/12)</f>
        <v>0</v>
      </c>
      <c r="E21" s="59"/>
      <c r="F21" s="60"/>
      <c r="G21" s="4">
        <v>0.5</v>
      </c>
      <c r="H21" s="7">
        <v>0</v>
      </c>
      <c r="I21" s="68">
        <f>0.75*E21</f>
        <v>0</v>
      </c>
      <c r="J21" s="62">
        <v>2</v>
      </c>
      <c r="K21" s="63">
        <f>I21*J21/12</f>
        <v>0</v>
      </c>
      <c r="L21" s="61">
        <v>2.5</v>
      </c>
      <c r="M21" s="62">
        <v>25</v>
      </c>
      <c r="N21" s="79">
        <f>E21*L21*(M21/100)</f>
        <v>0</v>
      </c>
      <c r="O21" s="4">
        <v>2.5</v>
      </c>
      <c r="P21" s="101">
        <v>50</v>
      </c>
      <c r="Q21" s="3">
        <f>E21*O21*(P21/100)</f>
        <v>0</v>
      </c>
      <c r="R21" s="5">
        <f>G21*8*(E21+F21*(L21+O21))/12</f>
        <v>0</v>
      </c>
      <c r="S21" s="5">
        <f>N21+Q21+K21+H21</f>
        <v>0</v>
      </c>
      <c r="T21" s="5"/>
      <c r="U21" s="5">
        <f>R21+S21</f>
        <v>0</v>
      </c>
      <c r="V21" s="145"/>
      <c r="W21" s="145"/>
      <c r="X21" s="145"/>
      <c r="Y21" s="145"/>
      <c r="Z21" s="94"/>
    </row>
    <row r="22" spans="1:26" s="47" customFormat="1" ht="35.1" hidden="1" customHeight="1" thickBot="1" x14ac:dyDescent="0.3">
      <c r="A22" s="162"/>
      <c r="B22" s="111" t="s">
        <v>63</v>
      </c>
      <c r="C22" s="9">
        <v>0</v>
      </c>
      <c r="D22" s="10">
        <f t="shared" si="5"/>
        <v>0</v>
      </c>
      <c r="E22" s="59"/>
      <c r="F22" s="60"/>
      <c r="G22" s="53">
        <v>0.5</v>
      </c>
      <c r="H22" s="7">
        <v>0</v>
      </c>
      <c r="I22" s="7">
        <v>0</v>
      </c>
      <c r="J22" s="7">
        <v>0</v>
      </c>
      <c r="K22" s="71">
        <f>I22*J22/12</f>
        <v>0</v>
      </c>
      <c r="L22" s="7">
        <v>0</v>
      </c>
      <c r="M22" s="7">
        <v>0</v>
      </c>
      <c r="N22" s="8">
        <f>E22*L22*(M22/100)</f>
        <v>0</v>
      </c>
      <c r="O22" s="53">
        <v>1</v>
      </c>
      <c r="P22" s="102">
        <v>40</v>
      </c>
      <c r="Q22" s="11">
        <f>E22*O22*(P22/100)</f>
        <v>0</v>
      </c>
      <c r="R22" s="12">
        <f>G22*8*(E22+F22*(L22+O22))/12</f>
        <v>0</v>
      </c>
      <c r="S22" s="12">
        <f>N22+Q22+K22+H22</f>
        <v>0</v>
      </c>
      <c r="T22" s="12"/>
      <c r="U22" s="12">
        <f>R22+S22</f>
        <v>0</v>
      </c>
      <c r="V22" s="146"/>
      <c r="W22" s="146"/>
      <c r="X22" s="146"/>
      <c r="Y22" s="146"/>
      <c r="Z22" s="94"/>
    </row>
    <row r="23" spans="1:26" s="47" customFormat="1" ht="35.1" hidden="1" customHeight="1" thickTop="1" thickBot="1" x14ac:dyDescent="0.3">
      <c r="A23" s="163"/>
      <c r="B23" s="57" t="s">
        <v>59</v>
      </c>
      <c r="C23" s="54">
        <f>SUM(C20:C22)</f>
        <v>43560</v>
      </c>
      <c r="D23" s="55">
        <f>SUM(D20:D22)</f>
        <v>4537.5</v>
      </c>
      <c r="E23" s="21"/>
      <c r="F23" s="21"/>
      <c r="G23" s="21"/>
      <c r="H23" s="70"/>
      <c r="I23" s="21"/>
      <c r="J23" s="21"/>
      <c r="K23" s="21"/>
      <c r="L23" s="21"/>
      <c r="M23" s="21"/>
      <c r="N23" s="21"/>
      <c r="O23" s="21"/>
      <c r="P23" s="21"/>
      <c r="Q23" s="22"/>
      <c r="R23" s="69"/>
      <c r="S23" s="22"/>
      <c r="T23" s="134"/>
      <c r="U23" s="55">
        <f>SUM(U20:U22)</f>
        <v>4253.90625</v>
      </c>
      <c r="V23" s="144"/>
      <c r="W23" s="144"/>
      <c r="X23" s="144"/>
      <c r="Y23" s="144"/>
      <c r="Z23" s="95"/>
    </row>
    <row r="27" spans="1:26" ht="15.75" x14ac:dyDescent="0.25">
      <c r="B27" s="49" t="s">
        <v>64</v>
      </c>
      <c r="Z27" s="50"/>
    </row>
    <row r="28" spans="1:26" ht="15.75" x14ac:dyDescent="0.25">
      <c r="B28" s="51" t="s">
        <v>120</v>
      </c>
      <c r="Z28" s="50"/>
    </row>
    <row r="29" spans="1:26" ht="15.75" x14ac:dyDescent="0.25">
      <c r="B29" s="52" t="s">
        <v>66</v>
      </c>
      <c r="Z29" s="50"/>
    </row>
    <row r="30" spans="1:26" ht="15.75" x14ac:dyDescent="0.25">
      <c r="B30" s="28" t="s">
        <v>67</v>
      </c>
      <c r="Z30" s="50"/>
    </row>
    <row r="31" spans="1:26" ht="15.75" x14ac:dyDescent="0.25">
      <c r="B31" s="28"/>
      <c r="Z31" s="50"/>
    </row>
    <row r="32" spans="1:26" ht="18" customHeight="1" x14ac:dyDescent="0.25">
      <c r="B32" s="51"/>
      <c r="H32" s="50"/>
      <c r="N32" s="50"/>
      <c r="O32" s="50"/>
      <c r="P32" s="50"/>
      <c r="Q32" s="50"/>
      <c r="R32" s="50"/>
      <c r="S32" s="50"/>
      <c r="T32" s="50"/>
      <c r="U32" s="50"/>
      <c r="V32" s="50"/>
      <c r="W32" s="50"/>
      <c r="X32" s="50"/>
      <c r="Y32" s="50"/>
      <c r="Z32" s="50"/>
    </row>
    <row r="33" spans="2:26" ht="18" customHeight="1" x14ac:dyDescent="0.25">
      <c r="B33" s="51"/>
      <c r="H33" s="50"/>
      <c r="N33" s="50"/>
      <c r="O33" s="50"/>
      <c r="P33" s="50"/>
      <c r="Q33" s="50"/>
      <c r="R33" s="50"/>
      <c r="S33" s="50"/>
      <c r="T33" s="50"/>
      <c r="U33" s="50"/>
      <c r="V33" s="50"/>
      <c r="W33" s="50"/>
      <c r="X33" s="50"/>
      <c r="Y33" s="50"/>
      <c r="Z33" s="50"/>
    </row>
    <row r="34" spans="2:26" ht="18" customHeight="1" x14ac:dyDescent="0.25">
      <c r="B34" s="51"/>
      <c r="H34" s="50"/>
      <c r="N34" s="50"/>
      <c r="O34" s="50"/>
      <c r="P34" s="50"/>
      <c r="Q34" s="50"/>
      <c r="R34" s="50"/>
      <c r="S34" s="50"/>
      <c r="T34" s="50"/>
      <c r="U34" s="50"/>
      <c r="V34" s="50"/>
      <c r="W34" s="50"/>
      <c r="X34" s="50"/>
      <c r="Y34" s="50"/>
      <c r="Z34" s="50" t="s">
        <v>68</v>
      </c>
    </row>
    <row r="35" spans="2:26" x14ac:dyDescent="0.25">
      <c r="H35" s="50"/>
      <c r="N35" s="50"/>
      <c r="O35" s="50"/>
      <c r="P35" s="50"/>
      <c r="Q35" s="50"/>
      <c r="R35" s="50"/>
      <c r="S35" s="50"/>
      <c r="T35" s="50"/>
      <c r="U35" s="50"/>
      <c r="V35" s="50"/>
      <c r="W35" s="50"/>
      <c r="X35" s="50"/>
      <c r="Y35" s="50"/>
      <c r="Z35" s="50"/>
    </row>
    <row r="37" spans="2:26" x14ac:dyDescent="0.25">
      <c r="O37" s="1"/>
    </row>
    <row r="47" spans="2:26" x14ac:dyDescent="0.25">
      <c r="H47" s="46" t="s">
        <v>69</v>
      </c>
    </row>
    <row r="53" spans="3:3" x14ac:dyDescent="0.25">
      <c r="C53" s="46" t="s">
        <v>70</v>
      </c>
    </row>
  </sheetData>
  <mergeCells count="20">
    <mergeCell ref="H10:Q10"/>
    <mergeCell ref="A10:B13"/>
    <mergeCell ref="Z10:Z13"/>
    <mergeCell ref="O11:Q11"/>
    <mergeCell ref="I11:K11"/>
    <mergeCell ref="H11:H12"/>
    <mergeCell ref="L11:N11"/>
    <mergeCell ref="C11:C12"/>
    <mergeCell ref="D11:D12"/>
    <mergeCell ref="E11:E12"/>
    <mergeCell ref="F11:F12"/>
    <mergeCell ref="G11:G12"/>
    <mergeCell ref="R10:V11"/>
    <mergeCell ref="W10:Y11"/>
    <mergeCell ref="C9:E9"/>
    <mergeCell ref="A4:B4"/>
    <mergeCell ref="A20:A23"/>
    <mergeCell ref="A14:A19"/>
    <mergeCell ref="A9:B9"/>
    <mergeCell ref="C10:G10"/>
  </mergeCells>
  <pageMargins left="0.25" right="0.25" top="0.75" bottom="0.75" header="0.3" footer="0.3"/>
  <pageSetup paperSize="17" scale="6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topLeftCell="A4" zoomScale="60" zoomScaleNormal="60" zoomScaleSheetLayoutView="85" zoomScalePageLayoutView="60" workbookViewId="0">
      <selection activeCell="T4" sqref="T1:T1048576"/>
    </sheetView>
  </sheetViews>
  <sheetFormatPr defaultColWidth="9.140625" defaultRowHeight="15" x14ac:dyDescent="0.25"/>
  <cols>
    <col min="1" max="1" width="4.7109375" style="46" customWidth="1"/>
    <col min="2" max="3" width="16.42578125" style="46" customWidth="1"/>
    <col min="4" max="4" width="16.28515625" style="46" customWidth="1"/>
    <col min="5" max="5" width="14" style="46" customWidth="1"/>
    <col min="6" max="7" width="15" style="46" customWidth="1"/>
    <col min="8" max="8" width="18.140625" style="46" customWidth="1"/>
    <col min="9" max="17" width="13.140625" style="46" customWidth="1"/>
    <col min="18" max="20" width="18.140625" style="46" customWidth="1"/>
    <col min="21" max="21" width="21.5703125" style="46" customWidth="1"/>
    <col min="22" max="23" width="16.85546875" style="46" customWidth="1"/>
    <col min="24" max="24" width="28.5703125" style="46" customWidth="1"/>
    <col min="25" max="16384" width="9.140625" style="46"/>
  </cols>
  <sheetData>
    <row r="1" spans="1:24" s="24" customFormat="1" ht="16.5" customHeight="1" x14ac:dyDescent="0.35">
      <c r="D1" s="25"/>
      <c r="E1" s="26"/>
      <c r="F1" s="27"/>
      <c r="G1" s="28"/>
      <c r="K1" s="29"/>
      <c r="L1" s="107" t="s">
        <v>0</v>
      </c>
      <c r="M1" s="30"/>
      <c r="N1" s="31"/>
    </row>
    <row r="2" spans="1:24" s="24" customFormat="1" ht="16.5" customHeight="1" x14ac:dyDescent="0.35">
      <c r="D2" s="25"/>
      <c r="E2" s="26"/>
      <c r="F2" s="32"/>
      <c r="G2" s="28"/>
      <c r="K2" s="33"/>
      <c r="L2" s="108" t="s">
        <v>1</v>
      </c>
      <c r="M2" s="34"/>
      <c r="N2" s="35"/>
    </row>
    <row r="3" spans="1:24" s="24" customFormat="1" ht="16.5" customHeight="1" x14ac:dyDescent="0.35">
      <c r="D3" s="25"/>
      <c r="E3" s="26"/>
      <c r="F3" s="36"/>
      <c r="G3" s="28"/>
      <c r="K3" s="38"/>
      <c r="L3" s="109" t="s">
        <v>2</v>
      </c>
      <c r="M3" s="39"/>
      <c r="N3" s="40"/>
    </row>
    <row r="4" spans="1:24" s="24" customFormat="1" ht="16.5" customHeight="1" x14ac:dyDescent="0.35">
      <c r="A4" s="160" t="s">
        <v>3</v>
      </c>
      <c r="B4" s="160"/>
      <c r="C4" s="106" t="s">
        <v>4</v>
      </c>
      <c r="D4" s="25"/>
      <c r="E4" s="26"/>
      <c r="F4" s="36"/>
      <c r="G4" s="28"/>
      <c r="K4" s="38"/>
      <c r="L4" s="37"/>
      <c r="M4" s="39"/>
      <c r="N4" s="40"/>
      <c r="R4" s="140" t="s">
        <v>5</v>
      </c>
      <c r="S4" s="106" t="s">
        <v>6</v>
      </c>
      <c r="T4" s="106"/>
    </row>
    <row r="5" spans="1:24" s="24" customFormat="1" ht="16.5" customHeight="1" x14ac:dyDescent="0.35">
      <c r="A5" s="140" t="s">
        <v>7</v>
      </c>
      <c r="B5" s="140"/>
      <c r="C5" s="106" t="s">
        <v>8</v>
      </c>
      <c r="D5" s="25"/>
      <c r="E5" s="26"/>
      <c r="F5" s="36"/>
      <c r="G5" s="28"/>
      <c r="K5" s="38"/>
      <c r="L5" s="37"/>
      <c r="M5" s="39"/>
      <c r="N5" s="40"/>
      <c r="R5" s="110" t="s">
        <v>9</v>
      </c>
      <c r="S5" s="106" t="s">
        <v>10</v>
      </c>
      <c r="T5" s="106"/>
    </row>
    <row r="6" spans="1:24" s="24" customFormat="1" ht="16.5" customHeight="1" x14ac:dyDescent="0.35">
      <c r="A6" s="140" t="s">
        <v>11</v>
      </c>
      <c r="B6" s="140"/>
      <c r="C6" s="106" t="s">
        <v>12</v>
      </c>
      <c r="D6" s="25"/>
      <c r="E6" s="26"/>
      <c r="F6" s="36"/>
      <c r="G6" s="28"/>
      <c r="K6" s="38"/>
      <c r="L6" s="37"/>
      <c r="M6" s="39"/>
      <c r="N6" s="40"/>
      <c r="R6" s="110" t="s">
        <v>13</v>
      </c>
      <c r="S6" s="106" t="s">
        <v>14</v>
      </c>
      <c r="T6" s="106"/>
    </row>
    <row r="7" spans="1:24" s="24" customFormat="1" ht="16.5" customHeight="1" x14ac:dyDescent="0.35">
      <c r="D7" s="42"/>
      <c r="E7" s="26"/>
      <c r="F7" s="41"/>
      <c r="G7" s="28"/>
      <c r="K7" s="43"/>
      <c r="M7" s="41"/>
      <c r="N7" s="44"/>
      <c r="O7" s="45"/>
    </row>
    <row r="8" spans="1:24" s="24" customFormat="1" ht="16.5" customHeight="1" thickBot="1" x14ac:dyDescent="0.4">
      <c r="A8" s="99"/>
      <c r="B8" s="99"/>
      <c r="C8" s="56"/>
      <c r="D8" s="42"/>
      <c r="E8" s="26"/>
      <c r="F8" s="41"/>
      <c r="G8" s="28"/>
      <c r="K8" s="43"/>
      <c r="L8" s="105" t="s">
        <v>15</v>
      </c>
      <c r="M8" s="41"/>
      <c r="N8" s="44"/>
      <c r="O8" s="45"/>
    </row>
    <row r="9" spans="1:24" ht="16.5" customHeight="1" thickBot="1" x14ac:dyDescent="0.3">
      <c r="A9" s="165" t="s">
        <v>16</v>
      </c>
      <c r="B9" s="166"/>
      <c r="C9" s="157" t="s">
        <v>17</v>
      </c>
      <c r="D9" s="158"/>
      <c r="E9" s="159"/>
      <c r="F9" s="103"/>
      <c r="G9" s="104"/>
    </row>
    <row r="10" spans="1:24" ht="15.75" x14ac:dyDescent="0.25">
      <c r="A10" s="169" t="s">
        <v>18</v>
      </c>
      <c r="B10" s="170"/>
      <c r="C10" s="167" t="s">
        <v>19</v>
      </c>
      <c r="D10" s="167"/>
      <c r="E10" s="167"/>
      <c r="F10" s="167"/>
      <c r="G10" s="167"/>
      <c r="H10" s="168" t="s">
        <v>20</v>
      </c>
      <c r="I10" s="168"/>
      <c r="J10" s="168"/>
      <c r="K10" s="168"/>
      <c r="L10" s="168"/>
      <c r="M10" s="168"/>
      <c r="N10" s="168"/>
      <c r="O10" s="168"/>
      <c r="P10" s="168"/>
      <c r="Q10" s="168"/>
      <c r="R10" s="189" t="s">
        <v>21</v>
      </c>
      <c r="S10" s="189"/>
      <c r="T10" s="189"/>
      <c r="U10" s="189"/>
      <c r="V10" s="190"/>
      <c r="W10" s="121"/>
      <c r="X10" s="193" t="s">
        <v>23</v>
      </c>
    </row>
    <row r="11" spans="1:24" ht="15" customHeight="1" x14ac:dyDescent="0.25">
      <c r="A11" s="171"/>
      <c r="B11" s="172"/>
      <c r="C11" s="178" t="s">
        <v>24</v>
      </c>
      <c r="D11" s="179" t="s">
        <v>71</v>
      </c>
      <c r="E11" s="178" t="s">
        <v>26</v>
      </c>
      <c r="F11" s="180" t="s">
        <v>27</v>
      </c>
      <c r="G11" s="181" t="s">
        <v>28</v>
      </c>
      <c r="H11" s="177" t="s">
        <v>29</v>
      </c>
      <c r="I11" s="176" t="s">
        <v>30</v>
      </c>
      <c r="J11" s="176"/>
      <c r="K11" s="176"/>
      <c r="L11" s="176" t="s">
        <v>31</v>
      </c>
      <c r="M11" s="176"/>
      <c r="N11" s="176"/>
      <c r="O11" s="176" t="s">
        <v>32</v>
      </c>
      <c r="P11" s="176"/>
      <c r="Q11" s="176"/>
      <c r="R11" s="191"/>
      <c r="S11" s="191"/>
      <c r="T11" s="191"/>
      <c r="U11" s="191"/>
      <c r="V11" s="192"/>
      <c r="W11" s="122"/>
      <c r="X11" s="194"/>
    </row>
    <row r="12" spans="1:24" s="47" customFormat="1" ht="59.25" customHeight="1" x14ac:dyDescent="0.25">
      <c r="A12" s="171"/>
      <c r="B12" s="172"/>
      <c r="C12" s="178"/>
      <c r="D12" s="179"/>
      <c r="E12" s="178"/>
      <c r="F12" s="180"/>
      <c r="G12" s="181"/>
      <c r="H12" s="177"/>
      <c r="I12" s="138" t="s">
        <v>33</v>
      </c>
      <c r="J12" s="138" t="s">
        <v>34</v>
      </c>
      <c r="K12" s="138" t="s">
        <v>35</v>
      </c>
      <c r="L12" s="139" t="s">
        <v>36</v>
      </c>
      <c r="M12" s="139" t="s">
        <v>37</v>
      </c>
      <c r="N12" s="139" t="s">
        <v>38</v>
      </c>
      <c r="O12" s="139" t="s">
        <v>39</v>
      </c>
      <c r="P12" s="139" t="s">
        <v>40</v>
      </c>
      <c r="Q12" s="139" t="s">
        <v>41</v>
      </c>
      <c r="R12" s="138" t="s">
        <v>42</v>
      </c>
      <c r="S12" s="138" t="s">
        <v>43</v>
      </c>
      <c r="T12" s="131" t="s">
        <v>72</v>
      </c>
      <c r="U12" s="13" t="s">
        <v>73</v>
      </c>
      <c r="V12" s="96" t="s">
        <v>44</v>
      </c>
      <c r="W12" s="123" t="s">
        <v>74</v>
      </c>
      <c r="X12" s="194"/>
    </row>
    <row r="13" spans="1:24" s="48" customFormat="1" ht="20.100000000000001" customHeight="1" x14ac:dyDescent="0.25">
      <c r="A13" s="171"/>
      <c r="B13" s="172"/>
      <c r="C13" s="82" t="s">
        <v>47</v>
      </c>
      <c r="D13" s="83" t="s">
        <v>48</v>
      </c>
      <c r="E13" s="84" t="s">
        <v>47</v>
      </c>
      <c r="F13" s="85" t="s">
        <v>49</v>
      </c>
      <c r="G13" s="84" t="s">
        <v>50</v>
      </c>
      <c r="H13" s="84" t="s">
        <v>48</v>
      </c>
      <c r="I13" s="84" t="s">
        <v>47</v>
      </c>
      <c r="J13" s="84" t="s">
        <v>51</v>
      </c>
      <c r="K13" s="86" t="s">
        <v>48</v>
      </c>
      <c r="L13" s="87" t="s">
        <v>49</v>
      </c>
      <c r="M13" s="84" t="s">
        <v>52</v>
      </c>
      <c r="N13" s="82" t="s">
        <v>48</v>
      </c>
      <c r="O13" s="84" t="s">
        <v>49</v>
      </c>
      <c r="P13" s="84" t="s">
        <v>52</v>
      </c>
      <c r="Q13" s="82" t="s">
        <v>48</v>
      </c>
      <c r="R13" s="84" t="s">
        <v>48</v>
      </c>
      <c r="S13" s="84" t="s">
        <v>48</v>
      </c>
      <c r="T13" s="132" t="s">
        <v>48</v>
      </c>
      <c r="U13" s="88" t="s">
        <v>48</v>
      </c>
      <c r="V13" s="97" t="s">
        <v>52</v>
      </c>
      <c r="W13" s="124"/>
      <c r="X13" s="194"/>
    </row>
    <row r="14" spans="1:24" s="47" customFormat="1" ht="63" x14ac:dyDescent="0.25">
      <c r="A14" s="161" t="s">
        <v>54</v>
      </c>
      <c r="B14" s="111" t="s">
        <v>55</v>
      </c>
      <c r="C14" s="74">
        <v>43560</v>
      </c>
      <c r="D14" s="75">
        <f>C14*(1/12)</f>
        <v>3630</v>
      </c>
      <c r="E14" s="76">
        <v>1936</v>
      </c>
      <c r="F14" s="76">
        <f>SQRT(E14)*4</f>
        <v>176</v>
      </c>
      <c r="G14" s="77">
        <v>0</v>
      </c>
      <c r="H14" s="78">
        <v>0</v>
      </c>
      <c r="I14" s="68">
        <f>0.75*E14</f>
        <v>1452</v>
      </c>
      <c r="J14" s="62">
        <v>2</v>
      </c>
      <c r="K14" s="63">
        <f>I14*J14/12</f>
        <v>242</v>
      </c>
      <c r="L14" s="61">
        <v>2</v>
      </c>
      <c r="M14" s="62">
        <v>25</v>
      </c>
      <c r="N14" s="79">
        <f>E14*L14*(M14/100)</f>
        <v>968</v>
      </c>
      <c r="O14" s="77">
        <v>2.5</v>
      </c>
      <c r="P14" s="62">
        <v>50</v>
      </c>
      <c r="Q14" s="79">
        <f>E14*O14*(P14/100)</f>
        <v>2420</v>
      </c>
      <c r="R14" s="80">
        <f>G14*8*(E14+F14*(L14+O14-1.25))/12</f>
        <v>0</v>
      </c>
      <c r="S14" s="80">
        <f>N14+Q14+K14+H14</f>
        <v>3630</v>
      </c>
      <c r="T14" s="133"/>
      <c r="U14" s="80">
        <f t="shared" ref="U14:U16" si="0">R14+S14+T14</f>
        <v>3630</v>
      </c>
      <c r="V14" s="81">
        <f>IFERROR((U14/D14),0)</f>
        <v>1</v>
      </c>
      <c r="W14" s="130">
        <f>U14/C14*12</f>
        <v>1</v>
      </c>
      <c r="X14" s="93"/>
    </row>
    <row r="15" spans="1:24" s="47" customFormat="1" ht="110.25" x14ac:dyDescent="0.25">
      <c r="A15" s="162"/>
      <c r="B15" s="111" t="s">
        <v>75</v>
      </c>
      <c r="C15" s="74">
        <v>43560</v>
      </c>
      <c r="D15" s="75">
        <f t="shared" ref="D15:D18" si="1">C15*(1/12)</f>
        <v>3630</v>
      </c>
      <c r="E15" s="76">
        <f>E14</f>
        <v>1936</v>
      </c>
      <c r="F15" s="76">
        <f>SQRT(E15)*4</f>
        <v>176</v>
      </c>
      <c r="G15" s="136">
        <v>0.5</v>
      </c>
      <c r="H15" s="78">
        <v>0</v>
      </c>
      <c r="I15" s="68">
        <f>0.75*E15</f>
        <v>1452</v>
      </c>
      <c r="J15" s="62">
        <v>2</v>
      </c>
      <c r="K15" s="63">
        <f>I15*J15/12</f>
        <v>242</v>
      </c>
      <c r="L15" s="61">
        <v>2</v>
      </c>
      <c r="M15" s="62">
        <v>25</v>
      </c>
      <c r="N15" s="79">
        <f>E15*L15*(M15/100)</f>
        <v>968</v>
      </c>
      <c r="O15" s="77">
        <v>2.5</v>
      </c>
      <c r="P15" s="62">
        <v>50</v>
      </c>
      <c r="Q15" s="79">
        <f>E15*O15*(P15/100)</f>
        <v>2420</v>
      </c>
      <c r="R15" s="80">
        <f>G15*8*(E15+F15*(L15+O15-1.25))/12</f>
        <v>836</v>
      </c>
      <c r="S15" s="80">
        <f>N15+Q15+K15+H15</f>
        <v>3630</v>
      </c>
      <c r="T15" s="133"/>
      <c r="U15" s="80">
        <f t="shared" si="0"/>
        <v>4466</v>
      </c>
      <c r="V15" s="81">
        <f>IFERROR((U15/D15),0)</f>
        <v>1.2303030303030302</v>
      </c>
      <c r="W15" s="130">
        <f>U15/C15*12</f>
        <v>1.2303030303030302</v>
      </c>
      <c r="X15" s="94"/>
    </row>
    <row r="16" spans="1:24" s="47" customFormat="1" ht="110.25" x14ac:dyDescent="0.25">
      <c r="A16" s="162"/>
      <c r="B16" s="111" t="s">
        <v>76</v>
      </c>
      <c r="C16" s="74">
        <v>43560</v>
      </c>
      <c r="D16" s="75">
        <f t="shared" si="1"/>
        <v>3630</v>
      </c>
      <c r="E16" s="76">
        <f t="shared" ref="E16:E18" si="2">E15</f>
        <v>1936</v>
      </c>
      <c r="F16" s="76">
        <f>SQRT(E16)*4</f>
        <v>176</v>
      </c>
      <c r="G16" s="136">
        <v>1</v>
      </c>
      <c r="H16" s="78">
        <v>0</v>
      </c>
      <c r="I16" s="68">
        <f>0.75*E16</f>
        <v>1452</v>
      </c>
      <c r="J16" s="62">
        <v>2</v>
      </c>
      <c r="K16" s="63">
        <f>I16*J16/12</f>
        <v>242</v>
      </c>
      <c r="L16" s="61">
        <v>2</v>
      </c>
      <c r="M16" s="62">
        <v>25</v>
      </c>
      <c r="N16" s="79">
        <f>E16*L16*(M16/100)</f>
        <v>968</v>
      </c>
      <c r="O16" s="77">
        <v>2.5</v>
      </c>
      <c r="P16" s="62">
        <v>50</v>
      </c>
      <c r="Q16" s="79">
        <f>E16*O16*(P16/100)</f>
        <v>2420</v>
      </c>
      <c r="R16" s="80">
        <f>G16*8*(E16+F16*(L16+O16-1.25))/12</f>
        <v>1672</v>
      </c>
      <c r="S16" s="80">
        <f>N16+Q16+K16+H16</f>
        <v>3630</v>
      </c>
      <c r="T16" s="133"/>
      <c r="U16" s="80">
        <f t="shared" si="0"/>
        <v>5302</v>
      </c>
      <c r="V16" s="81">
        <f>IFERROR((U16/D16),0)</f>
        <v>1.4606060606060607</v>
      </c>
      <c r="W16" s="130">
        <f>U16/C16*12</f>
        <v>1.4606060606060607</v>
      </c>
      <c r="X16" s="135"/>
    </row>
    <row r="17" spans="1:24" s="47" customFormat="1" ht="111" thickBot="1" x14ac:dyDescent="0.3">
      <c r="A17" s="162"/>
      <c r="B17" s="111" t="s">
        <v>77</v>
      </c>
      <c r="C17" s="74">
        <v>43560</v>
      </c>
      <c r="D17" s="75">
        <f t="shared" si="1"/>
        <v>3630</v>
      </c>
      <c r="E17" s="76">
        <f t="shared" si="2"/>
        <v>1936</v>
      </c>
      <c r="F17" s="76">
        <f>SQRT(E17)*4</f>
        <v>176</v>
      </c>
      <c r="G17" s="77">
        <v>0</v>
      </c>
      <c r="H17" s="78">
        <v>0</v>
      </c>
      <c r="I17" s="68">
        <f>0.75*E17</f>
        <v>1452</v>
      </c>
      <c r="J17" s="62">
        <v>2</v>
      </c>
      <c r="K17" s="63">
        <f>I17*J17/12</f>
        <v>242</v>
      </c>
      <c r="L17" s="61">
        <v>2</v>
      </c>
      <c r="M17" s="62">
        <v>25</v>
      </c>
      <c r="N17" s="79">
        <f>E17*L17*(M17/100)</f>
        <v>968</v>
      </c>
      <c r="O17" s="77">
        <v>2.5</v>
      </c>
      <c r="P17" s="62">
        <v>50</v>
      </c>
      <c r="Q17" s="79">
        <f>E17*O17*(P17/100)</f>
        <v>2420</v>
      </c>
      <c r="R17" s="80">
        <f>G17*8*(E17+F17*(L17+O17-1.25))/12</f>
        <v>0</v>
      </c>
      <c r="S17" s="80">
        <f>N17+Q17+K17+H17</f>
        <v>3630</v>
      </c>
      <c r="T17" s="133">
        <f>0.05*60*60*8</f>
        <v>1440</v>
      </c>
      <c r="U17" s="80">
        <f>R17+S17+T17</f>
        <v>5070</v>
      </c>
      <c r="V17" s="81">
        <f>IFERROR((U17/D17),0)</f>
        <v>1.3966942148760331</v>
      </c>
      <c r="W17" s="130">
        <f>U17/C17*12</f>
        <v>1.3966942148760331</v>
      </c>
      <c r="X17" s="137" t="s">
        <v>78</v>
      </c>
    </row>
    <row r="18" spans="1:24" s="47" customFormat="1" ht="111.75" thickTop="1" thickBot="1" x14ac:dyDescent="0.3">
      <c r="A18" s="162"/>
      <c r="B18" s="111" t="s">
        <v>79</v>
      </c>
      <c r="C18" s="74">
        <v>43560</v>
      </c>
      <c r="D18" s="75">
        <f t="shared" si="1"/>
        <v>3630</v>
      </c>
      <c r="E18" s="76">
        <f t="shared" si="2"/>
        <v>1936</v>
      </c>
      <c r="F18" s="76">
        <f>SQRT(E18)*4</f>
        <v>176</v>
      </c>
      <c r="G18" s="77">
        <v>0</v>
      </c>
      <c r="H18" s="78">
        <v>0</v>
      </c>
      <c r="I18" s="68">
        <f>0.75*E18</f>
        <v>1452</v>
      </c>
      <c r="J18" s="62">
        <v>2</v>
      </c>
      <c r="K18" s="63">
        <f>I18*J18/12</f>
        <v>242</v>
      </c>
      <c r="L18" s="61">
        <v>2</v>
      </c>
      <c r="M18" s="62">
        <v>25</v>
      </c>
      <c r="N18" s="79">
        <f>E18*L18*(M18/100)</f>
        <v>968</v>
      </c>
      <c r="O18" s="77">
        <v>2.5</v>
      </c>
      <c r="P18" s="62">
        <v>50</v>
      </c>
      <c r="Q18" s="79">
        <f>E18*O18*(P18/100)</f>
        <v>2420</v>
      </c>
      <c r="R18" s="80">
        <f>G18*8*(E18+F18*(L18+O18-1.25))/12</f>
        <v>0</v>
      </c>
      <c r="S18" s="80">
        <f>N18+Q18+K18+H18</f>
        <v>3630</v>
      </c>
      <c r="T18" s="133">
        <f>0.1*60*60*8</f>
        <v>2880</v>
      </c>
      <c r="U18" s="80">
        <f>R18+S18+T18</f>
        <v>6510</v>
      </c>
      <c r="V18" s="81">
        <f>IFERROR((U18/D18),0)</f>
        <v>1.7933884297520661</v>
      </c>
      <c r="W18" s="130">
        <f>U18/C18*12</f>
        <v>1.7933884297520661</v>
      </c>
      <c r="X18" s="137" t="s">
        <v>80</v>
      </c>
    </row>
    <row r="19" spans="1:24" s="47" customFormat="1" ht="35.1" customHeight="1" thickTop="1" thickBot="1" x14ac:dyDescent="0.3">
      <c r="A19" s="163"/>
      <c r="B19" s="57" t="s">
        <v>59</v>
      </c>
      <c r="C19" s="54"/>
      <c r="D19" s="55"/>
      <c r="E19" s="21"/>
      <c r="F19" s="21"/>
      <c r="G19" s="65"/>
      <c r="H19" s="57"/>
      <c r="I19" s="72"/>
      <c r="J19" s="72"/>
      <c r="K19" s="72"/>
      <c r="L19" s="58"/>
      <c r="M19" s="66"/>
      <c r="N19" s="58"/>
      <c r="O19" s="72"/>
      <c r="P19" s="64"/>
      <c r="Q19" s="21"/>
      <c r="R19" s="70"/>
      <c r="S19" s="22"/>
      <c r="T19" s="134"/>
      <c r="U19" s="55"/>
      <c r="V19" s="23"/>
      <c r="W19" s="125"/>
      <c r="X19" s="95"/>
    </row>
    <row r="20" spans="1:24" s="47" customFormat="1" ht="35.1" hidden="1" customHeight="1" x14ac:dyDescent="0.25">
      <c r="A20" s="188" t="s">
        <v>60</v>
      </c>
      <c r="B20" s="73" t="s">
        <v>61</v>
      </c>
      <c r="C20" s="14">
        <f>C14</f>
        <v>43560</v>
      </c>
      <c r="D20" s="15">
        <f>C20*(1.25/12)</f>
        <v>4537.5</v>
      </c>
      <c r="E20" s="76">
        <f>C20/4/12/0.4</f>
        <v>2268.75</v>
      </c>
      <c r="F20" s="76">
        <f>SQRT(E20)*4</f>
        <v>190.52558883257649</v>
      </c>
      <c r="G20" s="18">
        <v>0</v>
      </c>
      <c r="H20" s="7">
        <v>0</v>
      </c>
      <c r="I20" s="68">
        <f>0.75*E20</f>
        <v>1701.5625</v>
      </c>
      <c r="J20" s="16">
        <v>2</v>
      </c>
      <c r="K20" s="19">
        <f>I20*J20/12</f>
        <v>283.59375</v>
      </c>
      <c r="L20" s="61">
        <v>2</v>
      </c>
      <c r="M20" s="62">
        <v>25</v>
      </c>
      <c r="N20" s="17">
        <f>E20*L20*(M20/100)</f>
        <v>1134.375</v>
      </c>
      <c r="O20" s="77">
        <v>2.5</v>
      </c>
      <c r="P20" s="16">
        <v>50</v>
      </c>
      <c r="Q20" s="17">
        <f>E20*O20*(P20/100)</f>
        <v>2835.9375</v>
      </c>
      <c r="R20" s="80">
        <f>G20*8*(E20+F20*(L20+O20-1.25))/12</f>
        <v>0</v>
      </c>
      <c r="S20" s="20">
        <f>N20+Q20+K20+H20</f>
        <v>4253.90625</v>
      </c>
      <c r="T20" s="20"/>
      <c r="U20" s="20">
        <f>R20+S20</f>
        <v>4253.90625</v>
      </c>
      <c r="V20" s="92">
        <f>IFERROR((U20/D20),0)</f>
        <v>0.9375</v>
      </c>
      <c r="W20" s="126"/>
      <c r="X20" s="94"/>
    </row>
    <row r="21" spans="1:24" s="47" customFormat="1" ht="35.1" hidden="1" customHeight="1" x14ac:dyDescent="0.25">
      <c r="A21" s="162"/>
      <c r="B21" s="111" t="s">
        <v>62</v>
      </c>
      <c r="C21" s="6">
        <v>0</v>
      </c>
      <c r="D21" s="2">
        <f t="shared" ref="D21:D22" si="3">C21*(1.25/12)</f>
        <v>0</v>
      </c>
      <c r="E21" s="59"/>
      <c r="F21" s="60"/>
      <c r="G21" s="4">
        <v>0.5</v>
      </c>
      <c r="H21" s="7">
        <v>0</v>
      </c>
      <c r="I21" s="68">
        <f>0.75*E21</f>
        <v>0</v>
      </c>
      <c r="J21" s="62">
        <v>2</v>
      </c>
      <c r="K21" s="63">
        <f>I21*J21/12</f>
        <v>0</v>
      </c>
      <c r="L21" s="61">
        <v>2.5</v>
      </c>
      <c r="M21" s="62">
        <v>25</v>
      </c>
      <c r="N21" s="79">
        <f>E21*L21*(M21/100)</f>
        <v>0</v>
      </c>
      <c r="O21" s="4">
        <v>2.5</v>
      </c>
      <c r="P21" s="101">
        <v>50</v>
      </c>
      <c r="Q21" s="3">
        <f>E21*O21*(P21/100)</f>
        <v>0</v>
      </c>
      <c r="R21" s="5">
        <f>G21*8*(E21+F21*(L21+O21))/12</f>
        <v>0</v>
      </c>
      <c r="S21" s="5">
        <f>N21+Q21+K21+H21</f>
        <v>0</v>
      </c>
      <c r="T21" s="5"/>
      <c r="U21" s="5">
        <f>R21+S21</f>
        <v>0</v>
      </c>
      <c r="V21" s="89">
        <f>IFERROR((U21/D21),0)</f>
        <v>0</v>
      </c>
      <c r="W21" s="127"/>
      <c r="X21" s="94"/>
    </row>
    <row r="22" spans="1:24" s="47" customFormat="1" ht="35.1" hidden="1" customHeight="1" thickBot="1" x14ac:dyDescent="0.3">
      <c r="A22" s="162"/>
      <c r="B22" s="111" t="s">
        <v>63</v>
      </c>
      <c r="C22" s="9">
        <v>0</v>
      </c>
      <c r="D22" s="10">
        <f t="shared" si="3"/>
        <v>0</v>
      </c>
      <c r="E22" s="59"/>
      <c r="F22" s="60"/>
      <c r="G22" s="53">
        <v>0.5</v>
      </c>
      <c r="H22" s="7">
        <v>0</v>
      </c>
      <c r="I22" s="7">
        <v>0</v>
      </c>
      <c r="J22" s="7">
        <v>0</v>
      </c>
      <c r="K22" s="71">
        <f>I22*J22/12</f>
        <v>0</v>
      </c>
      <c r="L22" s="7">
        <v>0</v>
      </c>
      <c r="M22" s="7">
        <v>0</v>
      </c>
      <c r="N22" s="8">
        <f>E22*L22*(M22/100)</f>
        <v>0</v>
      </c>
      <c r="O22" s="53">
        <v>1</v>
      </c>
      <c r="P22" s="102">
        <v>40</v>
      </c>
      <c r="Q22" s="11">
        <f>E22*O22*(P22/100)</f>
        <v>0</v>
      </c>
      <c r="R22" s="12">
        <f>G22*8*(E22+F22*(L22+O22))/12</f>
        <v>0</v>
      </c>
      <c r="S22" s="12">
        <f>N22+Q22+K22+H22</f>
        <v>0</v>
      </c>
      <c r="T22" s="12"/>
      <c r="U22" s="12">
        <f>R22+S22</f>
        <v>0</v>
      </c>
      <c r="V22" s="90">
        <f>IFERROR((U22/D22),0)</f>
        <v>0</v>
      </c>
      <c r="W22" s="128"/>
      <c r="X22" s="94"/>
    </row>
    <row r="23" spans="1:24" s="47" customFormat="1" ht="35.1" hidden="1" customHeight="1" thickTop="1" thickBot="1" x14ac:dyDescent="0.3">
      <c r="A23" s="163"/>
      <c r="B23" s="57" t="s">
        <v>59</v>
      </c>
      <c r="C23" s="54">
        <f>SUM(C20:C22)</f>
        <v>43560</v>
      </c>
      <c r="D23" s="55">
        <f>SUM(D20:D22)</f>
        <v>4537.5</v>
      </c>
      <c r="E23" s="21"/>
      <c r="F23" s="21"/>
      <c r="G23" s="21"/>
      <c r="H23" s="70"/>
      <c r="I23" s="21"/>
      <c r="J23" s="21"/>
      <c r="K23" s="21"/>
      <c r="L23" s="21"/>
      <c r="M23" s="21"/>
      <c r="N23" s="21"/>
      <c r="O23" s="21"/>
      <c r="P23" s="21"/>
      <c r="Q23" s="22"/>
      <c r="R23" s="69"/>
      <c r="S23" s="22"/>
      <c r="T23" s="134"/>
      <c r="U23" s="55">
        <f>SUM(U20:U22)</f>
        <v>4253.90625</v>
      </c>
      <c r="V23" s="91">
        <f>IFERROR(U23/D23,0)</f>
        <v>0.9375</v>
      </c>
      <c r="W23" s="129"/>
      <c r="X23" s="95"/>
    </row>
    <row r="24" spans="1:24" ht="17.25" x14ac:dyDescent="0.25">
      <c r="B24" s="46" t="s">
        <v>81</v>
      </c>
    </row>
    <row r="25" spans="1:24" ht="17.25" x14ac:dyDescent="0.25">
      <c r="B25" s="46" t="s">
        <v>82</v>
      </c>
    </row>
    <row r="27" spans="1:24" ht="15.75" x14ac:dyDescent="0.25">
      <c r="B27" s="49" t="s">
        <v>64</v>
      </c>
      <c r="X27" s="50"/>
    </row>
    <row r="28" spans="1:24" ht="15.75" x14ac:dyDescent="0.25">
      <c r="B28" s="51" t="s">
        <v>65</v>
      </c>
      <c r="X28" s="50"/>
    </row>
    <row r="29" spans="1:24" ht="15.75" x14ac:dyDescent="0.25">
      <c r="B29" s="52" t="s">
        <v>66</v>
      </c>
      <c r="X29" s="50"/>
    </row>
    <row r="30" spans="1:24" ht="15.75" x14ac:dyDescent="0.25">
      <c r="B30" s="28" t="s">
        <v>67</v>
      </c>
      <c r="X30" s="50"/>
    </row>
    <row r="31" spans="1:24" ht="15.75" x14ac:dyDescent="0.25">
      <c r="B31" s="28" t="s">
        <v>83</v>
      </c>
      <c r="X31" s="50"/>
    </row>
    <row r="32" spans="1:24" ht="18" customHeight="1" x14ac:dyDescent="0.25">
      <c r="B32" s="51"/>
      <c r="H32" s="50"/>
      <c r="N32" s="50"/>
      <c r="O32" s="50"/>
      <c r="P32" s="50"/>
      <c r="Q32" s="50"/>
      <c r="R32" s="50"/>
      <c r="S32" s="50"/>
      <c r="T32" s="50"/>
      <c r="U32" s="50"/>
      <c r="V32" s="50"/>
      <c r="W32" s="50"/>
      <c r="X32" s="50"/>
    </row>
    <row r="33" spans="2:24" ht="18" customHeight="1" x14ac:dyDescent="0.25">
      <c r="B33" s="51"/>
      <c r="H33" s="50"/>
      <c r="N33" s="50"/>
      <c r="O33" s="50"/>
      <c r="P33" s="50"/>
      <c r="Q33" s="50"/>
      <c r="R33" s="50"/>
      <c r="S33" s="50"/>
      <c r="T33" s="50"/>
      <c r="U33" s="50"/>
      <c r="V33" s="50"/>
      <c r="W33" s="50"/>
      <c r="X33" s="50"/>
    </row>
    <row r="34" spans="2:24" ht="18" customHeight="1" x14ac:dyDescent="0.25">
      <c r="B34" s="51"/>
      <c r="H34" s="50"/>
      <c r="N34" s="50"/>
      <c r="O34" s="50"/>
      <c r="P34" s="50"/>
      <c r="Q34" s="50"/>
      <c r="R34" s="50"/>
      <c r="S34" s="50"/>
      <c r="T34" s="50"/>
      <c r="U34" s="50"/>
      <c r="V34" s="50"/>
      <c r="W34" s="50"/>
      <c r="X34" s="50" t="s">
        <v>68</v>
      </c>
    </row>
    <row r="35" spans="2:24" x14ac:dyDescent="0.25">
      <c r="H35" s="50"/>
      <c r="N35" s="50"/>
      <c r="O35" s="50"/>
      <c r="P35" s="50"/>
      <c r="Q35" s="50"/>
      <c r="R35" s="50"/>
      <c r="S35" s="50"/>
      <c r="T35" s="50"/>
      <c r="U35" s="50"/>
      <c r="V35" s="50"/>
      <c r="W35" s="50"/>
      <c r="X35" s="50"/>
    </row>
    <row r="37" spans="2:24" x14ac:dyDescent="0.25">
      <c r="O37" s="1"/>
    </row>
    <row r="47" spans="2:24" x14ac:dyDescent="0.25">
      <c r="H47" s="46" t="s">
        <v>69</v>
      </c>
    </row>
    <row r="53" spans="3:3" x14ac:dyDescent="0.25">
      <c r="C53" s="46" t="s">
        <v>70</v>
      </c>
    </row>
  </sheetData>
  <mergeCells count="19">
    <mergeCell ref="A14:A19"/>
    <mergeCell ref="A20:A23"/>
    <mergeCell ref="R10:V11"/>
    <mergeCell ref="X10:X13"/>
    <mergeCell ref="C11:C12"/>
    <mergeCell ref="D11:D12"/>
    <mergeCell ref="E11:E12"/>
    <mergeCell ref="F11:F12"/>
    <mergeCell ref="G11:G12"/>
    <mergeCell ref="H11:H12"/>
    <mergeCell ref="I11:K11"/>
    <mergeCell ref="L11:N11"/>
    <mergeCell ref="H10:Q10"/>
    <mergeCell ref="O11:Q11"/>
    <mergeCell ref="A4:B4"/>
    <mergeCell ref="A9:B9"/>
    <mergeCell ref="C9:E9"/>
    <mergeCell ref="A10:B13"/>
    <mergeCell ref="C10:G10"/>
  </mergeCells>
  <conditionalFormatting sqref="V19:W19">
    <cfRule type="cellIs" dxfId="1" priority="2" operator="greaterThan">
      <formula>1</formula>
    </cfRule>
  </conditionalFormatting>
  <conditionalFormatting sqref="V23:W23">
    <cfRule type="cellIs" dxfId="0" priority="1" operator="greaterThan">
      <formula>1</formula>
    </cfRule>
  </conditionalFormatting>
  <pageMargins left="0.25" right="0.25" top="0.75" bottom="0.75" header="0.3" footer="0.3"/>
  <pageSetup paperSize="17"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zoomScaleNormal="100" workbookViewId="0">
      <selection activeCell="B14" sqref="B14"/>
    </sheetView>
  </sheetViews>
  <sheetFormatPr defaultColWidth="9.140625" defaultRowHeight="12.75" x14ac:dyDescent="0.2"/>
  <cols>
    <col min="1" max="1" width="3" style="98" customWidth="1"/>
    <col min="2" max="2" width="43.28515625" style="67" customWidth="1"/>
    <col min="3" max="3" width="131.7109375" style="67" customWidth="1"/>
    <col min="4" max="16384" width="9.140625" style="67"/>
  </cols>
  <sheetData>
    <row r="2" spans="1:3" ht="15" x14ac:dyDescent="0.25">
      <c r="A2" s="112" t="s">
        <v>84</v>
      </c>
      <c r="B2" s="113"/>
      <c r="C2" s="113"/>
    </row>
    <row r="3" spans="1:3" ht="30" x14ac:dyDescent="0.2">
      <c r="A3" s="114" t="s">
        <v>85</v>
      </c>
      <c r="B3" s="115" t="s">
        <v>86</v>
      </c>
      <c r="C3" s="116" t="s">
        <v>87</v>
      </c>
    </row>
    <row r="4" spans="1:3" ht="30" x14ac:dyDescent="0.2">
      <c r="A4" s="114" t="s">
        <v>88</v>
      </c>
      <c r="B4" s="115" t="s">
        <v>89</v>
      </c>
      <c r="C4" s="117" t="s">
        <v>90</v>
      </c>
    </row>
    <row r="5" spans="1:3" ht="15" x14ac:dyDescent="0.2">
      <c r="A5" s="197" t="s">
        <v>91</v>
      </c>
      <c r="B5" s="195" t="s">
        <v>92</v>
      </c>
      <c r="C5" s="116" t="s">
        <v>93</v>
      </c>
    </row>
    <row r="6" spans="1:3" ht="15" x14ac:dyDescent="0.2">
      <c r="A6" s="198"/>
      <c r="B6" s="196"/>
      <c r="C6" s="116" t="s">
        <v>94</v>
      </c>
    </row>
    <row r="7" spans="1:3" ht="15" x14ac:dyDescent="0.2">
      <c r="A7" s="197" t="s">
        <v>95</v>
      </c>
      <c r="B7" s="195" t="s">
        <v>96</v>
      </c>
      <c r="C7" s="117" t="s">
        <v>97</v>
      </c>
    </row>
    <row r="8" spans="1:3" ht="15" x14ac:dyDescent="0.2">
      <c r="A8" s="200"/>
      <c r="B8" s="199"/>
      <c r="C8" s="116" t="s">
        <v>98</v>
      </c>
    </row>
    <row r="9" spans="1:3" ht="15" x14ac:dyDescent="0.2">
      <c r="A9" s="198"/>
      <c r="B9" s="196"/>
      <c r="C9" s="116" t="s">
        <v>99</v>
      </c>
    </row>
    <row r="10" spans="1:3" ht="15" x14ac:dyDescent="0.2">
      <c r="A10" s="114" t="s">
        <v>100</v>
      </c>
      <c r="B10" s="115" t="s">
        <v>101</v>
      </c>
      <c r="C10" s="116" t="s">
        <v>102</v>
      </c>
    </row>
    <row r="11" spans="1:3" ht="30" x14ac:dyDescent="0.2">
      <c r="A11" s="197" t="s">
        <v>103</v>
      </c>
      <c r="B11" s="195" t="s">
        <v>104</v>
      </c>
      <c r="C11" s="116" t="s">
        <v>105</v>
      </c>
    </row>
    <row r="12" spans="1:3" ht="30" x14ac:dyDescent="0.2">
      <c r="A12" s="200"/>
      <c r="B12" s="199"/>
      <c r="C12" s="116" t="s">
        <v>106</v>
      </c>
    </row>
    <row r="13" spans="1:3" ht="45" x14ac:dyDescent="0.2">
      <c r="A13" s="198"/>
      <c r="B13" s="196"/>
      <c r="C13" s="116" t="s">
        <v>107</v>
      </c>
    </row>
    <row r="14" spans="1:3" ht="30" x14ac:dyDescent="0.2">
      <c r="A14" s="114" t="s">
        <v>108</v>
      </c>
      <c r="B14" s="115" t="s">
        <v>109</v>
      </c>
      <c r="C14" s="117" t="s">
        <v>110</v>
      </c>
    </row>
    <row r="15" spans="1:3" ht="30" x14ac:dyDescent="0.2">
      <c r="A15" s="114" t="s">
        <v>111</v>
      </c>
      <c r="B15" s="115" t="s">
        <v>112</v>
      </c>
      <c r="C15" s="117" t="s">
        <v>113</v>
      </c>
    </row>
    <row r="16" spans="1:3" ht="15" x14ac:dyDescent="0.2">
      <c r="A16" s="197" t="s">
        <v>114</v>
      </c>
      <c r="B16" s="195" t="s">
        <v>115</v>
      </c>
      <c r="C16" s="118" t="s">
        <v>116</v>
      </c>
    </row>
    <row r="17" spans="1:3" ht="15" x14ac:dyDescent="0.2">
      <c r="A17" s="200"/>
      <c r="B17" s="199"/>
      <c r="C17" s="119" t="s">
        <v>117</v>
      </c>
    </row>
    <row r="18" spans="1:3" ht="15" x14ac:dyDescent="0.2">
      <c r="A18" s="200"/>
      <c r="B18" s="199"/>
      <c r="C18" s="119" t="s">
        <v>118</v>
      </c>
    </row>
    <row r="19" spans="1:3" ht="30" x14ac:dyDescent="0.2">
      <c r="A19" s="198"/>
      <c r="B19" s="196"/>
      <c r="C19" s="120" t="s">
        <v>119</v>
      </c>
    </row>
    <row r="22" spans="1:3" x14ac:dyDescent="0.2">
      <c r="C22" s="100"/>
    </row>
  </sheetData>
  <mergeCells count="8">
    <mergeCell ref="B5:B6"/>
    <mergeCell ref="A5:A6"/>
    <mergeCell ref="B16:B19"/>
    <mergeCell ref="A16:A19"/>
    <mergeCell ref="A11:A13"/>
    <mergeCell ref="B11:B13"/>
    <mergeCell ref="B7:B9"/>
    <mergeCell ref="A7:A9"/>
  </mergeCells>
  <pageMargins left="0.7" right="0.7" top="0.75" bottom="0.75" header="0.3" footer="0.3"/>
  <pageSetup paperSiz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73A3533B800F4DB12D82A4BABA8BC2" ma:contentTypeVersion="2" ma:contentTypeDescription="Create a new document." ma:contentTypeScope="" ma:versionID="ed21cd6ea700c338dba5d89d75852876">
  <xsd:schema xmlns:xsd="http://www.w3.org/2001/XMLSchema" xmlns:xs="http://www.w3.org/2001/XMLSchema" xmlns:p="http://schemas.microsoft.com/office/2006/metadata/properties" xmlns:ns2="ae94e272-2f42-40a9-bf27-0a49cf2e20f3" targetNamespace="http://schemas.microsoft.com/office/2006/metadata/properties" ma:root="true" ma:fieldsID="7cf08ec85a60335af3d89a3ee8f7e5d7" ns2:_="">
    <xsd:import namespace="ae94e272-2f42-40a9-bf27-0a49cf2e20f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e272-2f42-40a9-bf27-0a49cf2e2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8FF0C3-D5F5-4C0D-86E9-E4FD93F5C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94e272-2f42-40a9-bf27-0a49cf2e2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0C4573-8291-4908-9FAA-A999FA959F1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e94e272-2f42-40a9-bf27-0a49cf2e20f3"/>
    <ds:schemaRef ds:uri="http://www.w3.org/XML/1998/namespace"/>
    <ds:schemaRef ds:uri="http://purl.org/dc/dcmitype/"/>
  </ds:schemaRefs>
</ds:datastoreItem>
</file>

<file path=customXml/itemProps3.xml><?xml version="1.0" encoding="utf-8"?>
<ds:datastoreItem xmlns:ds="http://schemas.openxmlformats.org/officeDocument/2006/customXml" ds:itemID="{602DAABB-0E8E-4E09-BC00-03E2DB3A7B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SW Calculation Table</vt:lpstr>
      <vt:lpstr>SW Calculation Table- 1 in</vt:lpstr>
      <vt:lpstr>Instructions</vt:lpstr>
      <vt:lpstr>Instructions!Print_Area</vt:lpstr>
      <vt:lpstr>'SW Calculation Table'!Print_Area</vt:lpstr>
      <vt:lpstr>'SW Calculation Table- 1 in'!Print_Area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Pellot, Doralee</dc:creator>
  <cp:keywords/>
  <dc:description/>
  <cp:lastModifiedBy>Hammond, Dylan</cp:lastModifiedBy>
  <cp:revision/>
  <dcterms:created xsi:type="dcterms:W3CDTF">2014-09-11T12:47:03Z</dcterms:created>
  <dcterms:modified xsi:type="dcterms:W3CDTF">2019-05-01T21:46:33Z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0x010100BB73A3533B800F4DB12D82A4BABA8BC2</vt:lpwstr>
  </property>
</Properties>
</file>