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omments4.xml" ContentType="application/vnd.openxmlformats-officedocument.spreadsheetml.comments+xml"/>
  <Override PartName="/xl/charts/chart2.xml" ContentType="application/vnd.openxmlformats-officedocument.drawingml.chart+xml"/>
  <Override PartName="/xl/comments5.xml" ContentType="application/vnd.openxmlformats-officedocument.spreadsheetml.comments+xml"/>
  <Override PartName="/xl/drawings/drawing3.xml" ContentType="application/vnd.openxmlformats-officedocument.drawing+xml"/>
  <Override PartName="/xl/comments6.xml" ContentType="application/vnd.openxmlformats-officedocument.spreadsheetml.comments+xml"/>
  <Override PartName="/xl/charts/chart3.xml" ContentType="application/vnd.openxmlformats-officedocument.drawingml.chart+xml"/>
  <Override PartName="/xl/charts/chart4.xml" ContentType="application/vnd.openxmlformats-officedocument.drawingml.chart+xml"/>
  <Override PartName="/xl/drawings/drawing4.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drawings/drawing5.xml" ContentType="application/vnd.openxmlformats-officedocument.drawing+xml"/>
  <Override PartName="/xl/comments7.xml" ContentType="application/vnd.openxmlformats-officedocument.spreadsheetml.comments+xml"/>
  <Override PartName="/xl/drawings/drawing6.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Z:\Demand Management\Non-Residential Water Efficiency Program\02_On-Site_Reuse\02_Program_Documents\03-ReuseGrantCalculator\Formatted\Final\"/>
    </mc:Choice>
  </mc:AlternateContent>
  <workbookProtection workbookAlgorithmName="SHA-512" workbookHashValue="QD1BnVR75wUXmwTUykmVvezdg1ENs7YLW2ZaWmVUPM2TRzl7fOcJ0u3qxHrU9iGrQv/6LwG+8rvZphwR8AMIHw==" workbookSaltValue="AeM8iMC5pyDFZBQY5yYcTw==" workbookSpinCount="100000" lockStructure="1"/>
  <bookViews>
    <workbookView xWindow="0" yWindow="0" windowWidth="15345" windowHeight="5940" tabRatio="871"/>
  </bookViews>
  <sheets>
    <sheet name="Readme" sheetId="1" r:id="rId1"/>
    <sheet name="1. Building Information" sheetId="2" r:id="rId2"/>
    <sheet name="2. Indoor Water Demand" sheetId="3" r:id="rId3"/>
    <sheet name="3. Indoor Non-Potable Supply" sheetId="4" r:id="rId4"/>
    <sheet name="4. Outdoor Water Demand" sheetId="5" r:id="rId5"/>
    <sheet name="5. Outdoor Non-Potable Supply" sheetId="6" r:id="rId6"/>
    <sheet name="6. Building Potential Summary" sheetId="7" r:id="rId7"/>
    <sheet name="7. Project Definition" sheetId="8" r:id="rId8"/>
    <sheet name="8. Printable Project Summary" sheetId="9" r:id="rId9"/>
    <sheet name="9. Printable Project Letter" sheetId="10" r:id="rId10"/>
    <sheet name="Calculator Backup" sheetId="11" state="hidden" r:id="rId11"/>
    <sheet name="Rainwater" sheetId="13" state="hidden" r:id="rId12"/>
    <sheet name="Supply-Demand by Month" sheetId="12" state="hidden" r:id="rId13"/>
    <sheet name="Version Notes" sheetId="16" state="hidden" r:id="rId14"/>
  </sheets>
  <definedNames>
    <definedName name="_xlnm._FilterDatabase" localSheetId="3" hidden="1">'3. Indoor Non-Potable Supply'!$B$98:$F$101</definedName>
    <definedName name="Input" localSheetId="4">'4. Outdoor Water Demand'!$C$18:$C$23,'4. Outdoor Water Demand'!$C$37:$C$37,'4. Outdoor Water Demand'!#REF!,'4. Outdoor Water Demand'!#REF!,'4. Outdoor Water Demand'!#REF!,'4. Outdoor Water Demand'!#REF!,'4. Outdoor Water Demand'!#REF!,'4. Outdoor Water Demand'!#REF!,'4. Outdoor Water Demand'!#REF!,'4. Outdoor Water Demand'!#REF!</definedName>
    <definedName name="Input" localSheetId="5">'5. Outdoor Non-Potable Supply'!#REF!,'5. Outdoor Non-Potable Supply'!#REF!,'5. Outdoor Non-Potable Supply'!#REF!,'5. Outdoor Non-Potable Supply'!#REF!,'5. Outdoor Non-Potable Supply'!#REF!,'5. Outdoor Non-Potable Supply'!#REF!,'5. Outdoor Non-Potable Supply'!#REF!,'5. Outdoor Non-Potable Supply'!#REF!,'5. Outdoor Non-Potable Supply'!#REF!,'5. Outdoor Non-Potable Supply'!#REF!</definedName>
    <definedName name="Input" localSheetId="7">'7. Project Definition'!#REF!,'7. Project Definition'!#REF!,'7. Project Definition'!#REF!,'7. Project Definition'!#REF!,'7. Project Definition'!#REF!,'7. Project Definition'!#REF!,'7. Project Definition'!#REF!,'7. Project Definition'!#REF!,'7. Project Definition'!#REF!,'7. Project Definition'!#REF!</definedName>
    <definedName name="_xlnm.Print_Area" localSheetId="1">'1. Building Information'!$A$1:$M$105</definedName>
    <definedName name="_xlnm.Print_Area" localSheetId="2">'2. Indoor Water Demand'!$A$1:$Q$174</definedName>
    <definedName name="_xlnm.Print_Area" localSheetId="3">'3. Indoor Non-Potable Supply'!$A$1:$R$158</definedName>
    <definedName name="_xlnm.Print_Area" localSheetId="4">'4. Outdoor Water Demand'!$A$1:$S$94</definedName>
    <definedName name="_xlnm.Print_Area" localSheetId="5">'5. Outdoor Non-Potable Supply'!$A$1:$O$48</definedName>
    <definedName name="_xlnm.Print_Area" localSheetId="6">'6. Building Potential Summary'!$A$1:$S$79</definedName>
    <definedName name="_xlnm.Print_Area" localSheetId="7">'7. Project Definition'!$A$1:$S$229</definedName>
    <definedName name="_xlnm.Print_Area" localSheetId="8">'8. Printable Project Summary'!$A$1:$K$146</definedName>
    <definedName name="_xlnm.Print_Area" localSheetId="9">'9. Printable Project Letter'!$A$1:$M$53</definedName>
    <definedName name="_xlnm.Print_Area" localSheetId="11">Rainwater!$A$1:$O$59</definedName>
    <definedName name="_xlnm.Print_Area" localSheetId="0">Readme!$A$1:$M$60</definedName>
    <definedName name="Z_27ECCA9D_8222_4026_A3C8_C768CAE028E0_.wvu.Cols" localSheetId="1" hidden="1">'1. Building Information'!$T:$AY</definedName>
    <definedName name="Z_27ECCA9D_8222_4026_A3C8_C768CAE028E0_.wvu.Cols" localSheetId="2" hidden="1">'2. Indoor Water Demand'!$AH:$AK</definedName>
    <definedName name="Z_27ECCA9D_8222_4026_A3C8_C768CAE028E0_.wvu.Cols" localSheetId="3" hidden="1">'3. Indoor Non-Potable Supply'!$BF:$BL</definedName>
    <definedName name="Z_27ECCA9D_8222_4026_A3C8_C768CAE028E0_.wvu.Cols" localSheetId="6" hidden="1">'6. Building Potential Summary'!$AK:$AL</definedName>
    <definedName name="Z_27ECCA9D_8222_4026_A3C8_C768CAE028E0_.wvu.Cols" localSheetId="8" hidden="1">'8. Printable Project Summary'!$L:$P</definedName>
    <definedName name="Z_27ECCA9D_8222_4026_A3C8_C768CAE028E0_.wvu.Cols" localSheetId="11" hidden="1">Rainwater!#REF!</definedName>
    <definedName name="Z_27ECCA9D_8222_4026_A3C8_C768CAE028E0_.wvu.FilterData" localSheetId="3" hidden="1">'3. Indoor Non-Potable Supply'!$B$98:$F$101</definedName>
    <definedName name="Z_27ECCA9D_8222_4026_A3C8_C768CAE028E0_.wvu.PrintArea" localSheetId="1" hidden="1">'1. Building Information'!$A$1:$M$105</definedName>
    <definedName name="Z_27ECCA9D_8222_4026_A3C8_C768CAE028E0_.wvu.PrintArea" localSheetId="2" hidden="1">'2. Indoor Water Demand'!$A$1:$Q$174</definedName>
    <definedName name="Z_27ECCA9D_8222_4026_A3C8_C768CAE028E0_.wvu.PrintArea" localSheetId="3" hidden="1">'3. Indoor Non-Potable Supply'!$A$1:$R$158</definedName>
    <definedName name="Z_27ECCA9D_8222_4026_A3C8_C768CAE028E0_.wvu.PrintArea" localSheetId="4" hidden="1">'4. Outdoor Water Demand'!$A$1:$S$94</definedName>
    <definedName name="Z_27ECCA9D_8222_4026_A3C8_C768CAE028E0_.wvu.PrintArea" localSheetId="5" hidden="1">'5. Outdoor Non-Potable Supply'!$A$1:$O$48</definedName>
    <definedName name="Z_27ECCA9D_8222_4026_A3C8_C768CAE028E0_.wvu.PrintArea" localSheetId="6" hidden="1">'6. Building Potential Summary'!$A$1:$S$79</definedName>
    <definedName name="Z_27ECCA9D_8222_4026_A3C8_C768CAE028E0_.wvu.PrintArea" localSheetId="7" hidden="1">'7. Project Definition'!$A$1:$S$229</definedName>
    <definedName name="Z_27ECCA9D_8222_4026_A3C8_C768CAE028E0_.wvu.PrintArea" localSheetId="8" hidden="1">'8. Printable Project Summary'!$A$1:$K$146</definedName>
    <definedName name="Z_27ECCA9D_8222_4026_A3C8_C768CAE028E0_.wvu.PrintArea" localSheetId="9" hidden="1">'9. Printable Project Letter'!$A$1:$M$53</definedName>
    <definedName name="Z_27ECCA9D_8222_4026_A3C8_C768CAE028E0_.wvu.PrintArea" localSheetId="11" hidden="1">Rainwater!$A$1:$O$59</definedName>
    <definedName name="Z_27ECCA9D_8222_4026_A3C8_C768CAE028E0_.wvu.PrintArea" localSheetId="0" hidden="1">Readme!$A$1:$M$60</definedName>
    <definedName name="Z_27ECCA9D_8222_4026_A3C8_C768CAE028E0_.wvu.Rows" localSheetId="1" hidden="1">'1. Building Information'!$36:$36,'1. Building Information'!#REF!</definedName>
    <definedName name="Z_27ECCA9D_8222_4026_A3C8_C768CAE028E0_.wvu.Rows" localSheetId="2" hidden="1">'2. Indoor Water Demand'!$56:$85,'2. Indoor Water Demand'!$93:$101,'2. Indoor Water Demand'!$129:$172</definedName>
    <definedName name="Z_27ECCA9D_8222_4026_A3C8_C768CAE028E0_.wvu.Rows" localSheetId="3" hidden="1">'3. Indoor Non-Potable Supply'!$80:$91,'3. Indoor Non-Potable Supply'!#REF!,'3. Indoor Non-Potable Supply'!#REF!,'3. Indoor Non-Potable Supply'!$110:$160</definedName>
    <definedName name="Z_27ECCA9D_8222_4026_A3C8_C768CAE028E0_.wvu.Rows" localSheetId="4" hidden="1">'4. Outdoor Water Demand'!$79:$103</definedName>
    <definedName name="Z_27ECCA9D_8222_4026_A3C8_C768CAE028E0_.wvu.Rows" localSheetId="5" hidden="1">'5. Outdoor Non-Potable Supply'!$23:$24,'5. Outdoor Non-Potable Supply'!#REF!</definedName>
    <definedName name="Z_27ECCA9D_8222_4026_A3C8_C768CAE028E0_.wvu.Rows" localSheetId="7" hidden="1">'7. Project Definition'!$147:$147,'7. Project Definition'!$233:$275</definedName>
    <definedName name="Z_27ECCA9D_8222_4026_A3C8_C768CAE028E0_.wvu.Rows" localSheetId="8" hidden="1">'8. Printable Project Summary'!$38:$38,'8. Printable Project Summary'!$62:$120</definedName>
    <definedName name="Z_27ECCA9D_8222_4026_A3C8_C768CAE028E0_.wvu.Rows" localSheetId="9" hidden="1">'9. Printable Project Letter'!$55:$55</definedName>
    <definedName name="Z_27ECCA9D_8222_4026_A3C8_C768CAE028E0_.wvu.Rows" localSheetId="11" hidden="1">Rainwater!$36:$48</definedName>
    <definedName name="Z_D635BEAF_4410_44C3_8109_399BEE34BBD8_.wvu.Cols" localSheetId="1" hidden="1">'1. Building Information'!$T:$AY</definedName>
    <definedName name="Z_D635BEAF_4410_44C3_8109_399BEE34BBD8_.wvu.Cols" localSheetId="2" hidden="1">'2. Indoor Water Demand'!$AH:$AK</definedName>
    <definedName name="Z_D635BEAF_4410_44C3_8109_399BEE34BBD8_.wvu.Cols" localSheetId="3" hidden="1">'3. Indoor Non-Potable Supply'!$BF:$BL</definedName>
    <definedName name="Z_D635BEAF_4410_44C3_8109_399BEE34BBD8_.wvu.Cols" localSheetId="6" hidden="1">'6. Building Potential Summary'!$AK:$AL</definedName>
    <definedName name="Z_D635BEAF_4410_44C3_8109_399BEE34BBD8_.wvu.Cols" localSheetId="8" hidden="1">'8. Printable Project Summary'!$L:$P</definedName>
    <definedName name="Z_D635BEAF_4410_44C3_8109_399BEE34BBD8_.wvu.Cols" localSheetId="11" hidden="1">Rainwater!#REF!</definedName>
    <definedName name="Z_D635BEAF_4410_44C3_8109_399BEE34BBD8_.wvu.FilterData" localSheetId="3" hidden="1">'3. Indoor Non-Potable Supply'!$B$98:$F$101</definedName>
    <definedName name="Z_D635BEAF_4410_44C3_8109_399BEE34BBD8_.wvu.PrintArea" localSheetId="1" hidden="1">'1. Building Information'!$A$1:$M$105</definedName>
    <definedName name="Z_D635BEAF_4410_44C3_8109_399BEE34BBD8_.wvu.PrintArea" localSheetId="2" hidden="1">'2. Indoor Water Demand'!$A$1:$Q$174</definedName>
    <definedName name="Z_D635BEAF_4410_44C3_8109_399BEE34BBD8_.wvu.PrintArea" localSheetId="3" hidden="1">'3. Indoor Non-Potable Supply'!$A$1:$R$158</definedName>
    <definedName name="Z_D635BEAF_4410_44C3_8109_399BEE34BBD8_.wvu.PrintArea" localSheetId="4" hidden="1">'4. Outdoor Water Demand'!$A$1:$S$94</definedName>
    <definedName name="Z_D635BEAF_4410_44C3_8109_399BEE34BBD8_.wvu.PrintArea" localSheetId="5" hidden="1">'5. Outdoor Non-Potable Supply'!$A$1:$O$48</definedName>
    <definedName name="Z_D635BEAF_4410_44C3_8109_399BEE34BBD8_.wvu.PrintArea" localSheetId="6" hidden="1">'6. Building Potential Summary'!$A$1:$S$79</definedName>
    <definedName name="Z_D635BEAF_4410_44C3_8109_399BEE34BBD8_.wvu.PrintArea" localSheetId="7" hidden="1">'7. Project Definition'!$A$1:$S$229</definedName>
    <definedName name="Z_D635BEAF_4410_44C3_8109_399BEE34BBD8_.wvu.PrintArea" localSheetId="8" hidden="1">'8. Printable Project Summary'!$A$1:$K$146</definedName>
    <definedName name="Z_D635BEAF_4410_44C3_8109_399BEE34BBD8_.wvu.PrintArea" localSheetId="9" hidden="1">'9. Printable Project Letter'!$A$1:$M$53</definedName>
    <definedName name="Z_D635BEAF_4410_44C3_8109_399BEE34BBD8_.wvu.PrintArea" localSheetId="11" hidden="1">Rainwater!$A$1:$O$59</definedName>
    <definedName name="Z_D635BEAF_4410_44C3_8109_399BEE34BBD8_.wvu.PrintArea" localSheetId="0" hidden="1">Readme!$A$1:$M$60</definedName>
    <definedName name="Z_D635BEAF_4410_44C3_8109_399BEE34BBD8_.wvu.Rows" localSheetId="1" hidden="1">'1. Building Information'!$36:$36,'1. Building Information'!#REF!</definedName>
    <definedName name="Z_D635BEAF_4410_44C3_8109_399BEE34BBD8_.wvu.Rows" localSheetId="2" hidden="1">'2. Indoor Water Demand'!$56:$85,'2. Indoor Water Demand'!$93:$101,'2. Indoor Water Demand'!$129:$172</definedName>
    <definedName name="Z_D635BEAF_4410_44C3_8109_399BEE34BBD8_.wvu.Rows" localSheetId="3" hidden="1">'3. Indoor Non-Potable Supply'!$80:$91,'3. Indoor Non-Potable Supply'!#REF!,'3. Indoor Non-Potable Supply'!#REF!,'3. Indoor Non-Potable Supply'!$110:$160</definedName>
    <definedName name="Z_D635BEAF_4410_44C3_8109_399BEE34BBD8_.wvu.Rows" localSheetId="4" hidden="1">'4. Outdoor Water Demand'!$79:$103</definedName>
    <definedName name="Z_D635BEAF_4410_44C3_8109_399BEE34BBD8_.wvu.Rows" localSheetId="5" hidden="1">'5. Outdoor Non-Potable Supply'!$23:$24,'5. Outdoor Non-Potable Supply'!#REF!</definedName>
    <definedName name="Z_D635BEAF_4410_44C3_8109_399BEE34BBD8_.wvu.Rows" localSheetId="7" hidden="1">'7. Project Definition'!$147:$147,'7. Project Definition'!$233:$275</definedName>
    <definedName name="Z_D635BEAF_4410_44C3_8109_399BEE34BBD8_.wvu.Rows" localSheetId="8" hidden="1">'8. Printable Project Summary'!$62:$120</definedName>
    <definedName name="Z_D635BEAF_4410_44C3_8109_399BEE34BBD8_.wvu.Rows" localSheetId="9" hidden="1">'9. Printable Project Letter'!$55:$55</definedName>
    <definedName name="Z_D635BEAF_4410_44C3_8109_399BEE34BBD8_.wvu.Rows" localSheetId="11" hidden="1">Rainwater!$36:$48</definedName>
  </definedNames>
  <calcPr calcId="162913"/>
  <customWorkbookViews>
    <customWorkbookView name="Lauren Salberg - Personal View" guid="{27ECCA9D-8222-4026-A3C8-C768CAE028E0}" mergeInterval="0" personalView="1" maximized="1" xWindow="-8" yWindow="-8" windowWidth="1936" windowHeight="1056" tabRatio="871" activeSheetId="1"/>
    <customWorkbookView name="Nishant Parulekar - Personal View" guid="{D635BEAF-4410-44C3-8109-399BEE34BBD8}" mergeInterval="0" personalView="1" maximized="1" xWindow="-8" yWindow="-8" windowWidth="1296" windowHeight="1000" tabRatio="871" activeSheetId="1"/>
  </customWorkbookViews>
</workbook>
</file>

<file path=xl/calcChain.xml><?xml version="1.0" encoding="utf-8"?>
<calcChain xmlns="http://schemas.openxmlformats.org/spreadsheetml/2006/main">
  <c r="C10" i="13" l="1"/>
  <c r="B89" i="8" l="1"/>
  <c r="L70" i="2" l="1"/>
  <c r="D35" i="2" l="1"/>
  <c r="J91" i="2"/>
  <c r="F31" i="8" l="1"/>
  <c r="E31" i="8" s="1"/>
  <c r="B10" i="13"/>
  <c r="D25" i="8"/>
  <c r="C121" i="4"/>
  <c r="O45" i="4"/>
  <c r="E89" i="3" l="1"/>
  <c r="D51" i="5" l="1"/>
  <c r="D52" i="5"/>
  <c r="D53" i="5"/>
  <c r="D50" i="5"/>
  <c r="D43" i="5"/>
  <c r="D44" i="5"/>
  <c r="D45" i="5"/>
  <c r="D46" i="5"/>
  <c r="D47" i="5"/>
  <c r="D48" i="5"/>
  <c r="D49" i="5"/>
  <c r="D42" i="5"/>
  <c r="E34" i="13"/>
  <c r="I29" i="6" l="1"/>
  <c r="L42" i="5"/>
  <c r="B142" i="4"/>
  <c r="B143" i="4"/>
  <c r="B144" i="4"/>
  <c r="B145" i="4"/>
  <c r="B147" i="4"/>
  <c r="B148" i="4"/>
  <c r="B141" i="4"/>
  <c r="B37" i="4"/>
  <c r="B38" i="4"/>
  <c r="B39" i="4"/>
  <c r="B40" i="4"/>
  <c r="B41" i="4"/>
  <c r="B43" i="4"/>
  <c r="B36" i="4"/>
  <c r="L35" i="2"/>
  <c r="E50" i="3"/>
  <c r="B50" i="8" l="1"/>
  <c r="B43" i="7"/>
  <c r="B42" i="7"/>
  <c r="B18" i="6"/>
  <c r="B16" i="6"/>
  <c r="F69" i="5"/>
  <c r="D71" i="5"/>
  <c r="F71" i="5"/>
  <c r="C30" i="5"/>
  <c r="B30" i="5"/>
  <c r="C25" i="5"/>
  <c r="B25" i="5"/>
  <c r="C20" i="5"/>
  <c r="B20" i="5"/>
  <c r="B18" i="5"/>
  <c r="C18" i="5"/>
  <c r="C35" i="5" l="1"/>
  <c r="J129" i="4"/>
  <c r="E99" i="4"/>
  <c r="E100" i="4"/>
  <c r="E101" i="4"/>
  <c r="M129" i="4" l="1"/>
  <c r="E102" i="4"/>
  <c r="C110" i="3" l="1"/>
  <c r="C35" i="2" l="1"/>
  <c r="B53" i="2" s="1"/>
  <c r="D89" i="3" s="1"/>
  <c r="O60" i="4" l="1"/>
  <c r="G90" i="3"/>
  <c r="B51" i="8" l="1"/>
  <c r="H4" i="9" l="1"/>
  <c r="B22" i="10" s="1"/>
  <c r="F45" i="13" l="1"/>
  <c r="F48" i="13" s="1"/>
  <c r="C45" i="5" l="1"/>
  <c r="C36" i="6"/>
  <c r="C45" i="13"/>
  <c r="C48" i="13" s="1"/>
  <c r="C33" i="6"/>
  <c r="C37" i="6"/>
  <c r="C29" i="6" l="1"/>
  <c r="C42" i="5"/>
  <c r="C49" i="5"/>
  <c r="C32" i="6"/>
  <c r="C51" i="5"/>
  <c r="C38" i="6"/>
  <c r="C43" i="5"/>
  <c r="C30" i="6"/>
  <c r="C34" i="6"/>
  <c r="C47" i="5"/>
  <c r="C39" i="6"/>
  <c r="C52" i="5"/>
  <c r="C31" i="6"/>
  <c r="C44" i="5"/>
  <c r="C35" i="6"/>
  <c r="C48" i="5"/>
  <c r="C53" i="5"/>
  <c r="C40" i="6"/>
  <c r="C50" i="5"/>
  <c r="C46" i="5"/>
  <c r="B34" i="13"/>
  <c r="C41" i="6" l="1"/>
  <c r="C54" i="5"/>
  <c r="B13" i="13"/>
  <c r="L45" i="13" l="1"/>
  <c r="L48" i="13" s="1"/>
  <c r="B12" i="13" l="1"/>
  <c r="C28" i="10" l="1"/>
  <c r="A4" i="10"/>
  <c r="D54" i="5" l="1"/>
  <c r="F121" i="4" l="1"/>
  <c r="E121" i="4"/>
  <c r="I81" i="3"/>
  <c r="J81" i="3"/>
  <c r="K81" i="3"/>
  <c r="L81" i="3"/>
  <c r="M81" i="3"/>
  <c r="N81" i="3"/>
  <c r="O81" i="3"/>
  <c r="P81" i="3"/>
  <c r="Q81" i="3"/>
  <c r="R81" i="3"/>
  <c r="S81" i="3"/>
  <c r="H81" i="3"/>
  <c r="H90" i="3"/>
  <c r="I90" i="3"/>
  <c r="J90" i="3"/>
  <c r="K90" i="3"/>
  <c r="L90" i="3"/>
  <c r="M90" i="3"/>
  <c r="N90" i="3"/>
  <c r="O90" i="3"/>
  <c r="P90" i="3"/>
  <c r="Q90" i="3"/>
  <c r="F90" i="3"/>
  <c r="F26" i="4"/>
  <c r="D68" i="4" l="1"/>
  <c r="E68" i="4"/>
  <c r="F68" i="4"/>
  <c r="G68" i="4"/>
  <c r="H68" i="4"/>
  <c r="I68" i="4"/>
  <c r="J68" i="4"/>
  <c r="K68" i="4"/>
  <c r="L68" i="4"/>
  <c r="M68" i="4"/>
  <c r="N68" i="4"/>
  <c r="C68" i="4"/>
  <c r="L43" i="5"/>
  <c r="L44" i="5"/>
  <c r="L45" i="5"/>
  <c r="L46" i="5"/>
  <c r="L47" i="5"/>
  <c r="L48" i="5"/>
  <c r="L49" i="5"/>
  <c r="L50" i="5"/>
  <c r="L51" i="5"/>
  <c r="L52" i="5"/>
  <c r="L53" i="5"/>
  <c r="F75" i="5"/>
  <c r="F64" i="5"/>
  <c r="F72" i="5" s="1"/>
  <c r="I30" i="6"/>
  <c r="I31" i="6"/>
  <c r="I32" i="6"/>
  <c r="I33" i="6"/>
  <c r="I34" i="6"/>
  <c r="I35" i="6"/>
  <c r="I36" i="6"/>
  <c r="I37" i="6"/>
  <c r="I38" i="6"/>
  <c r="I39" i="6"/>
  <c r="I40" i="6"/>
  <c r="C38" i="7"/>
  <c r="C36" i="7"/>
  <c r="F27" i="8"/>
  <c r="H34" i="8"/>
  <c r="I34" i="8"/>
  <c r="J34" i="8"/>
  <c r="K34" i="8"/>
  <c r="L34" i="8"/>
  <c r="M34" i="8"/>
  <c r="N34" i="8"/>
  <c r="O34" i="8"/>
  <c r="P34" i="8"/>
  <c r="Q34" i="8"/>
  <c r="R34" i="8"/>
  <c r="G34" i="8"/>
  <c r="H47" i="8"/>
  <c r="I47" i="8"/>
  <c r="J47" i="8"/>
  <c r="K47" i="8"/>
  <c r="L47" i="8"/>
  <c r="M47" i="8"/>
  <c r="N47" i="8"/>
  <c r="O47" i="8"/>
  <c r="P47" i="8"/>
  <c r="Q47" i="8"/>
  <c r="R47" i="8"/>
  <c r="G47" i="8"/>
  <c r="F52" i="8"/>
  <c r="F77" i="8"/>
  <c r="F71" i="8"/>
  <c r="H99" i="8"/>
  <c r="I99" i="8"/>
  <c r="J99" i="8"/>
  <c r="K99" i="8"/>
  <c r="L99" i="8"/>
  <c r="M99" i="8"/>
  <c r="N99" i="8"/>
  <c r="O99" i="8"/>
  <c r="P99" i="8"/>
  <c r="Q99" i="8"/>
  <c r="R99" i="8"/>
  <c r="G99" i="8"/>
  <c r="H132" i="8"/>
  <c r="I132" i="8"/>
  <c r="J132" i="8"/>
  <c r="K132" i="8"/>
  <c r="L132" i="8"/>
  <c r="M132" i="8"/>
  <c r="N132" i="8"/>
  <c r="O132" i="8"/>
  <c r="P132" i="8"/>
  <c r="Q132" i="8"/>
  <c r="R132" i="8"/>
  <c r="G132" i="8"/>
  <c r="H74" i="4" l="1"/>
  <c r="K27" i="3" l="1"/>
  <c r="D36" i="7"/>
  <c r="J104" i="2"/>
  <c r="J97" i="2"/>
  <c r="C92" i="2"/>
  <c r="F82" i="2"/>
  <c r="F83" i="2" s="1"/>
  <c r="M70" i="2"/>
  <c r="L67" i="2"/>
  <c r="D46" i="3" l="1"/>
  <c r="E46" i="3" s="1"/>
  <c r="F46" i="3" s="1"/>
  <c r="D41" i="3"/>
  <c r="E90" i="3"/>
  <c r="D33" i="7"/>
  <c r="D34" i="8"/>
  <c r="D243" i="8"/>
  <c r="E243" i="8"/>
  <c r="F243" i="8"/>
  <c r="G243" i="8"/>
  <c r="H243" i="8"/>
  <c r="I243" i="8"/>
  <c r="J243" i="8"/>
  <c r="K243" i="8"/>
  <c r="L243" i="8"/>
  <c r="M243" i="8"/>
  <c r="N243" i="8"/>
  <c r="O243" i="8"/>
  <c r="D92" i="8"/>
  <c r="F92" i="8" s="1"/>
  <c r="D86" i="8"/>
  <c r="F86" i="8" s="1"/>
  <c r="E86" i="8" s="1"/>
  <c r="D77" i="8"/>
  <c r="D71" i="8"/>
  <c r="D52" i="8"/>
  <c r="D40" i="8"/>
  <c r="F40" i="8" s="1"/>
  <c r="D31" i="8"/>
  <c r="D27" i="8"/>
  <c r="J145" i="4"/>
  <c r="J141" i="4"/>
  <c r="J132" i="4"/>
  <c r="J137" i="4" s="1"/>
  <c r="N46" i="4"/>
  <c r="O47" i="4"/>
  <c r="N27" i="4"/>
  <c r="F45" i="4"/>
  <c r="O26" i="4"/>
  <c r="O28" i="4" s="1"/>
  <c r="C146" i="4" l="1"/>
  <c r="P42" i="4"/>
  <c r="Q42" i="4" s="1"/>
  <c r="L42" i="4"/>
  <c r="N42" i="4" s="1"/>
  <c r="F146" i="4"/>
  <c r="K42" i="4"/>
  <c r="O42" i="4" s="1"/>
  <c r="C243" i="8"/>
  <c r="F34" i="8"/>
  <c r="M145" i="4"/>
  <c r="J150" i="4"/>
  <c r="J149" i="4"/>
  <c r="M141" i="4"/>
  <c r="N45" i="4"/>
  <c r="N47" i="4"/>
  <c r="M132" i="4"/>
  <c r="N28" i="4"/>
  <c r="J136" i="4"/>
  <c r="N26" i="4"/>
  <c r="M160" i="3"/>
  <c r="M159" i="3"/>
  <c r="M158" i="3"/>
  <c r="D56" i="4"/>
  <c r="D67" i="4" s="1"/>
  <c r="D66" i="4" s="1"/>
  <c r="E56" i="4"/>
  <c r="E67" i="4" s="1"/>
  <c r="E66" i="4" s="1"/>
  <c r="F56" i="4"/>
  <c r="F67" i="4" s="1"/>
  <c r="F66" i="4" s="1"/>
  <c r="G56" i="4"/>
  <c r="G67" i="4" s="1"/>
  <c r="G66" i="4" s="1"/>
  <c r="H56" i="4"/>
  <c r="H67" i="4" s="1"/>
  <c r="H66" i="4" s="1"/>
  <c r="I56" i="4"/>
  <c r="I67" i="4" s="1"/>
  <c r="I66" i="4" s="1"/>
  <c r="J56" i="4"/>
  <c r="J67" i="4" s="1"/>
  <c r="J66" i="4" s="1"/>
  <c r="K56" i="4"/>
  <c r="K67" i="4" s="1"/>
  <c r="K66" i="4" s="1"/>
  <c r="L56" i="4"/>
  <c r="L67" i="4" s="1"/>
  <c r="L66" i="4" s="1"/>
  <c r="M56" i="4"/>
  <c r="M67" i="4" s="1"/>
  <c r="M66" i="4" s="1"/>
  <c r="N56" i="4"/>
  <c r="N67" i="4" s="1"/>
  <c r="N66" i="4" s="1"/>
  <c r="C56" i="4"/>
  <c r="C67" i="4" s="1"/>
  <c r="C66" i="4" s="1"/>
  <c r="F158" i="3"/>
  <c r="E169" i="3"/>
  <c r="I33" i="7" s="1"/>
  <c r="F169" i="3"/>
  <c r="J33" i="7" s="1"/>
  <c r="G169" i="3"/>
  <c r="K33" i="7" s="1"/>
  <c r="H169" i="3"/>
  <c r="L33" i="7" s="1"/>
  <c r="I169" i="3"/>
  <c r="M33" i="7" s="1"/>
  <c r="J169" i="3"/>
  <c r="N33" i="7" s="1"/>
  <c r="K169" i="3"/>
  <c r="O33" i="7" s="1"/>
  <c r="L169" i="3"/>
  <c r="P33" i="7" s="1"/>
  <c r="M169" i="3"/>
  <c r="Q33" i="7" s="1"/>
  <c r="N169" i="3"/>
  <c r="R33" i="7" s="1"/>
  <c r="O169" i="3"/>
  <c r="S33" i="7" s="1"/>
  <c r="D169" i="3"/>
  <c r="H33" i="7" s="1"/>
  <c r="I146" i="4" l="1"/>
  <c r="D89" i="8"/>
  <c r="F89" i="8" s="1"/>
  <c r="C71" i="4"/>
  <c r="M150" i="4"/>
  <c r="M137" i="4"/>
  <c r="J153" i="4"/>
  <c r="M149" i="4"/>
  <c r="M136" i="4"/>
  <c r="J152" i="4"/>
  <c r="E89" i="8" l="1"/>
  <c r="N89" i="8"/>
  <c r="R89" i="8"/>
  <c r="M89" i="8"/>
  <c r="J89" i="8"/>
  <c r="L89" i="8"/>
  <c r="P89" i="8"/>
  <c r="K89" i="8"/>
  <c r="H89" i="8"/>
  <c r="Q89" i="8"/>
  <c r="O89" i="8"/>
  <c r="I89" i="8"/>
  <c r="G89" i="8"/>
  <c r="M153" i="4"/>
  <c r="M152" i="4"/>
  <c r="P243" i="8" l="1"/>
  <c r="D132" i="8" l="1"/>
  <c r="F132" i="8" s="1"/>
  <c r="N45" i="13"/>
  <c r="N48" i="13" s="1"/>
  <c r="M45" i="13"/>
  <c r="K45" i="13"/>
  <c r="K48" i="13" s="1"/>
  <c r="J45" i="13"/>
  <c r="J48" i="13" s="1"/>
  <c r="I45" i="13"/>
  <c r="I48" i="13" s="1"/>
  <c r="H45" i="13"/>
  <c r="H48" i="13" s="1"/>
  <c r="G45" i="13"/>
  <c r="G48" i="13" s="1"/>
  <c r="E45" i="13"/>
  <c r="E48" i="13" s="1"/>
  <c r="D45" i="13"/>
  <c r="D48" i="13" s="1"/>
  <c r="G41" i="6"/>
  <c r="D106" i="8"/>
  <c r="F106" i="8" s="1"/>
  <c r="E106" i="8" s="1"/>
  <c r="D99" i="8"/>
  <c r="F99" i="8" s="1"/>
  <c r="F159" i="4"/>
  <c r="C159" i="4" s="1"/>
  <c r="E92" i="8"/>
  <c r="K86" i="8"/>
  <c r="E77" i="8"/>
  <c r="E71" i="8"/>
  <c r="G52" i="8"/>
  <c r="N99" i="5"/>
  <c r="M99" i="5"/>
  <c r="L99" i="5"/>
  <c r="K99" i="5"/>
  <c r="J99" i="5"/>
  <c r="I99" i="5"/>
  <c r="H99" i="5"/>
  <c r="G99" i="5"/>
  <c r="F99" i="5"/>
  <c r="E99" i="5"/>
  <c r="D99" i="5"/>
  <c r="C99" i="5"/>
  <c r="D47" i="8"/>
  <c r="F47" i="8" s="1"/>
  <c r="M48" i="13" l="1"/>
  <c r="N102" i="5"/>
  <c r="J102" i="5"/>
  <c r="O68" i="4"/>
  <c r="F102" i="5"/>
  <c r="I41" i="6"/>
  <c r="C46" i="6" s="1"/>
  <c r="E132" i="8"/>
  <c r="B45" i="13"/>
  <c r="M102" i="5"/>
  <c r="I102" i="5"/>
  <c r="E102" i="5"/>
  <c r="C102" i="5"/>
  <c r="K102" i="5"/>
  <c r="G102" i="5"/>
  <c r="L102" i="5"/>
  <c r="H102" i="5"/>
  <c r="D102" i="5"/>
  <c r="I86" i="8"/>
  <c r="O92" i="8"/>
  <c r="R71" i="8"/>
  <c r="N71" i="8"/>
  <c r="J71" i="8"/>
  <c r="O71" i="8"/>
  <c r="G71" i="8"/>
  <c r="K71" i="8"/>
  <c r="P77" i="8"/>
  <c r="L77" i="8"/>
  <c r="H77" i="8"/>
  <c r="G77" i="8"/>
  <c r="O77" i="8"/>
  <c r="K77" i="8"/>
  <c r="K92" i="8"/>
  <c r="Q71" i="8"/>
  <c r="M71" i="8"/>
  <c r="I71" i="8"/>
  <c r="R77" i="8"/>
  <c r="N77" i="8"/>
  <c r="J77" i="8"/>
  <c r="P71" i="8"/>
  <c r="L71" i="8"/>
  <c r="H71" i="8"/>
  <c r="Q77" i="8"/>
  <c r="M77" i="8"/>
  <c r="I77" i="8"/>
  <c r="N86" i="8"/>
  <c r="G92" i="8"/>
  <c r="E99" i="8"/>
  <c r="R92" i="8"/>
  <c r="N92" i="8"/>
  <c r="J92" i="8"/>
  <c r="Q92" i="8"/>
  <c r="M92" i="8"/>
  <c r="I92" i="8"/>
  <c r="P92" i="8"/>
  <c r="L92" i="8"/>
  <c r="H92" i="8"/>
  <c r="M86" i="8"/>
  <c r="Q86" i="8"/>
  <c r="R86" i="8"/>
  <c r="J86" i="8"/>
  <c r="P86" i="8"/>
  <c r="L86" i="8"/>
  <c r="H86" i="8"/>
  <c r="G86" i="8"/>
  <c r="O86" i="8"/>
  <c r="Q52" i="8"/>
  <c r="P52" i="8"/>
  <c r="L52" i="8"/>
  <c r="H52" i="8"/>
  <c r="O52" i="8"/>
  <c r="K52" i="8"/>
  <c r="E52" i="8"/>
  <c r="R52" i="8"/>
  <c r="N52" i="8"/>
  <c r="J52" i="8"/>
  <c r="M52" i="8"/>
  <c r="I52" i="8"/>
  <c r="O99" i="5"/>
  <c r="E47" i="8"/>
  <c r="J54" i="5"/>
  <c r="E40" i="8"/>
  <c r="D35" i="8"/>
  <c r="H34" i="9" s="1"/>
  <c r="T81" i="3"/>
  <c r="O102" i="5" l="1"/>
  <c r="B48" i="13"/>
  <c r="L54" i="5"/>
  <c r="I40" i="8"/>
  <c r="M40" i="8"/>
  <c r="Q40" i="8"/>
  <c r="P40" i="8"/>
  <c r="L40" i="8"/>
  <c r="H40" i="8"/>
  <c r="G40" i="8"/>
  <c r="O40" i="8"/>
  <c r="K40" i="8"/>
  <c r="R40" i="8"/>
  <c r="N40" i="8"/>
  <c r="J40" i="8"/>
  <c r="E27" i="8" l="1"/>
  <c r="P31" i="8" l="1"/>
  <c r="L31" i="8"/>
  <c r="G31" i="8"/>
  <c r="O31" i="8"/>
  <c r="K31" i="8"/>
  <c r="R31" i="8"/>
  <c r="N31" i="8"/>
  <c r="J31" i="8"/>
  <c r="Q31" i="8"/>
  <c r="M31" i="8"/>
  <c r="I31" i="8"/>
  <c r="H31" i="8"/>
  <c r="I27" i="8"/>
  <c r="Q27" i="8"/>
  <c r="N27" i="8"/>
  <c r="M27" i="8"/>
  <c r="R27" i="8"/>
  <c r="J27" i="8"/>
  <c r="P27" i="8"/>
  <c r="L27" i="8"/>
  <c r="H27" i="8"/>
  <c r="G27" i="8"/>
  <c r="O27" i="8"/>
  <c r="K27" i="8"/>
  <c r="B83" i="8" l="1"/>
  <c r="B84" i="8"/>
  <c r="B85" i="8"/>
  <c r="B88" i="8"/>
  <c r="B90" i="8"/>
  <c r="B91" i="8"/>
  <c r="B82" i="8"/>
  <c r="B69" i="8"/>
  <c r="B70" i="8"/>
  <c r="B73" i="8"/>
  <c r="B74" i="8"/>
  <c r="B75" i="8"/>
  <c r="B76" i="8"/>
  <c r="B68" i="8"/>
  <c r="L72" i="2" l="1"/>
  <c r="W65" i="2"/>
  <c r="X70" i="2"/>
  <c r="H23" i="9" l="1"/>
  <c r="H22" i="9"/>
  <c r="H21" i="9"/>
  <c r="H20" i="9"/>
  <c r="C25" i="9"/>
  <c r="B26" i="12" s="1"/>
  <c r="C26" i="12" s="1"/>
  <c r="C24" i="9"/>
  <c r="C20" i="9"/>
  <c r="C21" i="9"/>
  <c r="C23" i="9"/>
  <c r="C22" i="9"/>
  <c r="C36" i="12" l="1"/>
  <c r="C37" i="12"/>
  <c r="A20" i="10"/>
  <c r="C119" i="8"/>
  <c r="C118" i="8"/>
  <c r="C52" i="12" l="1"/>
  <c r="C29" i="12"/>
  <c r="E123" i="4"/>
  <c r="C64" i="7" s="1"/>
  <c r="G77" i="3"/>
  <c r="G63" i="3"/>
  <c r="G64" i="3"/>
  <c r="G65" i="3"/>
  <c r="G66" i="3"/>
  <c r="G67" i="3"/>
  <c r="G68" i="3"/>
  <c r="G69" i="3"/>
  <c r="G70" i="3"/>
  <c r="G71" i="3"/>
  <c r="G72" i="3"/>
  <c r="G73" i="3"/>
  <c r="G74" i="3"/>
  <c r="G75" i="3"/>
  <c r="G76" i="3"/>
  <c r="G62" i="3"/>
  <c r="H62" i="3" s="1"/>
  <c r="X73" i="2" l="1"/>
  <c r="X74" i="2"/>
  <c r="X75" i="2"/>
  <c r="M21" i="3" l="1"/>
  <c r="M22" i="3"/>
  <c r="M23" i="3"/>
  <c r="M24" i="3"/>
  <c r="M25" i="3"/>
  <c r="M20" i="3"/>
  <c r="C5" i="9" l="1"/>
  <c r="C6" i="9"/>
  <c r="C4" i="9"/>
  <c r="C67" i="9"/>
  <c r="C66" i="9"/>
  <c r="F25" i="7" l="1"/>
  <c r="G25" i="7" s="1"/>
  <c r="F26" i="7"/>
  <c r="G26" i="7" s="1"/>
  <c r="F29" i="7"/>
  <c r="G29" i="7" s="1"/>
  <c r="F30" i="7"/>
  <c r="G30" i="7" s="1"/>
  <c r="F24" i="7"/>
  <c r="G24" i="7" s="1"/>
  <c r="F17" i="7"/>
  <c r="G17" i="7" s="1"/>
  <c r="F20" i="7"/>
  <c r="G20" i="7" s="1"/>
  <c r="F21" i="7"/>
  <c r="G21" i="7" s="1"/>
  <c r="F16" i="7"/>
  <c r="G16" i="7" s="1"/>
  <c r="F159" i="3"/>
  <c r="F36" i="7" s="1"/>
  <c r="C18" i="6"/>
  <c r="C16" i="6"/>
  <c r="D37" i="8" l="1"/>
  <c r="F37" i="8" s="1"/>
  <c r="G36" i="7"/>
  <c r="C159" i="3"/>
  <c r="I159" i="3"/>
  <c r="S20" i="7"/>
  <c r="H21" i="7"/>
  <c r="K21" i="7"/>
  <c r="S21" i="7"/>
  <c r="O21" i="7"/>
  <c r="J21" i="7"/>
  <c r="N21" i="7"/>
  <c r="R21" i="7"/>
  <c r="Q21" i="7"/>
  <c r="L21" i="7"/>
  <c r="M21" i="7"/>
  <c r="I21" i="7"/>
  <c r="P21" i="7"/>
  <c r="H17" i="7"/>
  <c r="O17" i="7"/>
  <c r="K17" i="7"/>
  <c r="S17" i="7"/>
  <c r="J17" i="7"/>
  <c r="N17" i="7"/>
  <c r="R17" i="7"/>
  <c r="Q17" i="7"/>
  <c r="P17" i="7"/>
  <c r="I17" i="7"/>
  <c r="M17" i="7"/>
  <c r="L17" i="7"/>
  <c r="AN67" i="2"/>
  <c r="AN73" i="2"/>
  <c r="AJ67" i="2"/>
  <c r="AJ73" i="2"/>
  <c r="AJ74" i="2"/>
  <c r="AJ75" i="2"/>
  <c r="AF67" i="2"/>
  <c r="AF73" i="2"/>
  <c r="AF74" i="2"/>
  <c r="AF75" i="2"/>
  <c r="AB67" i="2"/>
  <c r="AB73" i="2"/>
  <c r="AB74" i="2"/>
  <c r="AB75" i="2"/>
  <c r="M80" i="2"/>
  <c r="M81" i="2"/>
  <c r="AJ81" i="2" s="1"/>
  <c r="M79" i="2"/>
  <c r="X79" i="2" s="1"/>
  <c r="L80" i="2"/>
  <c r="L81" i="2"/>
  <c r="L79" i="2"/>
  <c r="W79" i="2" s="1"/>
  <c r="X67" i="2"/>
  <c r="V68" i="2"/>
  <c r="V69" i="2"/>
  <c r="V70" i="2"/>
  <c r="V71" i="2"/>
  <c r="V72" i="2"/>
  <c r="V73" i="2"/>
  <c r="V74" i="2"/>
  <c r="V75" i="2"/>
  <c r="V76" i="2"/>
  <c r="V77" i="2"/>
  <c r="V78" i="2"/>
  <c r="V79" i="2"/>
  <c r="V80" i="2"/>
  <c r="V81" i="2"/>
  <c r="V82" i="2"/>
  <c r="V67" i="2"/>
  <c r="AR63" i="2"/>
  <c r="AR62" i="2"/>
  <c r="AQ65" i="2"/>
  <c r="AQ64" i="2"/>
  <c r="AQ63" i="2"/>
  <c r="AQ62" i="2"/>
  <c r="AN63" i="2"/>
  <c r="AN62" i="2"/>
  <c r="AM65" i="2"/>
  <c r="AM64" i="2"/>
  <c r="AM62" i="2"/>
  <c r="AJ63" i="2"/>
  <c r="AJ62" i="2"/>
  <c r="AI65" i="2"/>
  <c r="AI64" i="2"/>
  <c r="AI63" i="2"/>
  <c r="AI62" i="2"/>
  <c r="AF63" i="2"/>
  <c r="AF62" i="2"/>
  <c r="AE65" i="2"/>
  <c r="AE64" i="2"/>
  <c r="AE63" i="2"/>
  <c r="AE62" i="2"/>
  <c r="AB63" i="2"/>
  <c r="AB62" i="2"/>
  <c r="AA65" i="2"/>
  <c r="AA64" i="2"/>
  <c r="AA63" i="2"/>
  <c r="AA62" i="2"/>
  <c r="X63" i="2"/>
  <c r="X62" i="2"/>
  <c r="W64" i="2"/>
  <c r="W63" i="2"/>
  <c r="W62" i="2"/>
  <c r="AI79" i="2" l="1"/>
  <c r="AB81" i="2"/>
  <c r="H36" i="7"/>
  <c r="Q20" i="7"/>
  <c r="H20" i="7"/>
  <c r="M20" i="7"/>
  <c r="I20" i="7"/>
  <c r="K20" i="7"/>
  <c r="R20" i="7"/>
  <c r="O20" i="7"/>
  <c r="L20" i="7"/>
  <c r="N20" i="7"/>
  <c r="J20" i="7"/>
  <c r="P20" i="7"/>
  <c r="J37" i="8"/>
  <c r="AI81" i="2"/>
  <c r="AK81" i="2" s="1"/>
  <c r="AL81" i="2" s="1"/>
  <c r="W81" i="2"/>
  <c r="AB80" i="2"/>
  <c r="X80" i="2"/>
  <c r="AI80" i="2"/>
  <c r="W80" i="2"/>
  <c r="AA79" i="2"/>
  <c r="AF81" i="2"/>
  <c r="X81" i="2"/>
  <c r="AE79" i="2"/>
  <c r="I24" i="7"/>
  <c r="M24" i="7"/>
  <c r="Q24" i="7"/>
  <c r="K24" i="7"/>
  <c r="O24" i="7"/>
  <c r="S24" i="7"/>
  <c r="N24" i="7"/>
  <c r="J24" i="7"/>
  <c r="R24" i="7"/>
  <c r="L24" i="7"/>
  <c r="H24" i="7"/>
  <c r="P24" i="7"/>
  <c r="H26" i="7"/>
  <c r="L26" i="7"/>
  <c r="P26" i="7"/>
  <c r="J26" i="7"/>
  <c r="N26" i="7"/>
  <c r="R26" i="7"/>
  <c r="K26" i="7"/>
  <c r="O26" i="7"/>
  <c r="S26" i="7"/>
  <c r="M26" i="7"/>
  <c r="Q26" i="7"/>
  <c r="I26" i="7"/>
  <c r="H25" i="7"/>
  <c r="L25" i="7"/>
  <c r="P25" i="7"/>
  <c r="J25" i="7"/>
  <c r="N25" i="7"/>
  <c r="R25" i="7"/>
  <c r="K25" i="7"/>
  <c r="O25" i="7"/>
  <c r="S25" i="7"/>
  <c r="Q25" i="7"/>
  <c r="I25" i="7"/>
  <c r="M25" i="7"/>
  <c r="H30" i="7"/>
  <c r="L30" i="7"/>
  <c r="P30" i="7"/>
  <c r="J30" i="7"/>
  <c r="N30" i="7"/>
  <c r="R30" i="7"/>
  <c r="I30" i="7"/>
  <c r="Q30" i="7"/>
  <c r="K30" i="7"/>
  <c r="S30" i="7"/>
  <c r="M30" i="7"/>
  <c r="O30" i="7"/>
  <c r="H29" i="7"/>
  <c r="L29" i="7"/>
  <c r="P29" i="7"/>
  <c r="J29" i="7"/>
  <c r="N29" i="7"/>
  <c r="R29" i="7"/>
  <c r="M29" i="7"/>
  <c r="O29" i="7"/>
  <c r="I29" i="7"/>
  <c r="Q29" i="7"/>
  <c r="K29" i="7"/>
  <c r="S29" i="7"/>
  <c r="L16" i="7"/>
  <c r="P16" i="7"/>
  <c r="H16" i="7"/>
  <c r="J16" i="7"/>
  <c r="N16" i="7"/>
  <c r="R16" i="7"/>
  <c r="I16" i="7"/>
  <c r="Q16" i="7"/>
  <c r="S16" i="7"/>
  <c r="M16" i="7"/>
  <c r="O16" i="7"/>
  <c r="K16" i="7"/>
  <c r="AS78" i="2"/>
  <c r="AT78" i="2" s="1"/>
  <c r="AS71" i="2"/>
  <c r="AT71" i="2" s="1"/>
  <c r="AS75" i="2"/>
  <c r="AT75" i="2" s="1"/>
  <c r="AS79" i="2"/>
  <c r="AT79" i="2" s="1"/>
  <c r="AS68" i="2"/>
  <c r="AT68" i="2" s="1"/>
  <c r="AS72" i="2"/>
  <c r="AT72" i="2" s="1"/>
  <c r="AS76" i="2"/>
  <c r="AT76" i="2" s="1"/>
  <c r="AS80" i="2"/>
  <c r="AT80" i="2" s="1"/>
  <c r="AS67" i="2"/>
  <c r="AS74" i="2"/>
  <c r="AT74" i="2" s="1"/>
  <c r="AS81" i="2"/>
  <c r="AT81" i="2" s="1"/>
  <c r="AS73" i="2"/>
  <c r="AT73" i="2" s="1"/>
  <c r="AS77" i="2"/>
  <c r="AT77" i="2" s="1"/>
  <c r="AS69" i="2"/>
  <c r="AT69" i="2" s="1"/>
  <c r="Y79" i="2"/>
  <c r="AA81" i="2"/>
  <c r="AB79" i="2"/>
  <c r="AA80" i="2"/>
  <c r="AJ80" i="2"/>
  <c r="AE81" i="2"/>
  <c r="AF80" i="2"/>
  <c r="AJ79" i="2"/>
  <c r="AE80" i="2"/>
  <c r="AF79" i="2"/>
  <c r="I77" i="3"/>
  <c r="E77" i="3"/>
  <c r="AC81" i="2" l="1"/>
  <c r="AD81" i="2" s="1"/>
  <c r="I121" i="4"/>
  <c r="AK79" i="2"/>
  <c r="AL79" i="2" s="1"/>
  <c r="AC79" i="2"/>
  <c r="AD79" i="2" s="1"/>
  <c r="Y81" i="2"/>
  <c r="Z81" i="2" s="1"/>
  <c r="Y80" i="2"/>
  <c r="Z80" i="2" s="1"/>
  <c r="Q36" i="7"/>
  <c r="R36" i="7"/>
  <c r="L36" i="7"/>
  <c r="N36" i="7"/>
  <c r="S36" i="7"/>
  <c r="M36" i="7"/>
  <c r="J36" i="7"/>
  <c r="O36" i="7"/>
  <c r="I36" i="7"/>
  <c r="P36" i="7"/>
  <c r="K36" i="7"/>
  <c r="E37" i="8"/>
  <c r="Q37" i="8"/>
  <c r="O37" i="8"/>
  <c r="G37" i="8"/>
  <c r="P37" i="8"/>
  <c r="K37" i="8"/>
  <c r="N37" i="8"/>
  <c r="L37" i="8"/>
  <c r="H37" i="8"/>
  <c r="I37" i="8"/>
  <c r="R37" i="8"/>
  <c r="M37" i="8"/>
  <c r="AG80" i="2"/>
  <c r="AH80" i="2" s="1"/>
  <c r="AK80" i="2"/>
  <c r="AL80" i="2" s="1"/>
  <c r="AG79" i="2"/>
  <c r="AH79" i="2" s="1"/>
  <c r="AG81" i="2"/>
  <c r="AH81" i="2" s="1"/>
  <c r="AC80" i="2"/>
  <c r="AD80" i="2" s="1"/>
  <c r="Z79" i="2"/>
  <c r="AT67" i="2"/>
  <c r="M77" i="3"/>
  <c r="F157" i="4"/>
  <c r="D104" i="8" s="1"/>
  <c r="F104" i="8" s="1"/>
  <c r="J77" i="3"/>
  <c r="R77" i="3"/>
  <c r="L77" i="3"/>
  <c r="P77" i="3"/>
  <c r="O77" i="3"/>
  <c r="K77" i="3"/>
  <c r="S77" i="3"/>
  <c r="H77" i="3"/>
  <c r="Q77" i="3"/>
  <c r="N77" i="3"/>
  <c r="E63" i="3"/>
  <c r="E64" i="3"/>
  <c r="E65" i="3"/>
  <c r="E66" i="3"/>
  <c r="E67" i="3"/>
  <c r="E68" i="3"/>
  <c r="E69" i="3"/>
  <c r="E70" i="3"/>
  <c r="E71" i="3"/>
  <c r="E72" i="3"/>
  <c r="E73" i="3"/>
  <c r="E74" i="3"/>
  <c r="E75" i="3"/>
  <c r="E76" i="3"/>
  <c r="E62" i="3"/>
  <c r="T60" i="3"/>
  <c r="T59" i="3"/>
  <c r="C63" i="3"/>
  <c r="C64" i="3"/>
  <c r="C65" i="3"/>
  <c r="C66" i="3"/>
  <c r="C67" i="3"/>
  <c r="C68" i="3"/>
  <c r="C69" i="3"/>
  <c r="C70" i="3"/>
  <c r="C71" i="3"/>
  <c r="C72" i="3"/>
  <c r="C73" i="3"/>
  <c r="C74" i="3"/>
  <c r="C75" i="3"/>
  <c r="C62" i="3"/>
  <c r="B74" i="3"/>
  <c r="B75" i="3"/>
  <c r="B76" i="3"/>
  <c r="B62" i="3"/>
  <c r="B63" i="3"/>
  <c r="B64" i="3"/>
  <c r="B65" i="3"/>
  <c r="B66" i="3"/>
  <c r="B67" i="3"/>
  <c r="B68" i="3"/>
  <c r="B69" i="3"/>
  <c r="B70" i="3"/>
  <c r="B71" i="3"/>
  <c r="B72" i="3"/>
  <c r="B73" i="3"/>
  <c r="B61" i="3"/>
  <c r="E35" i="2"/>
  <c r="D107" i="8" l="1"/>
  <c r="I123" i="4"/>
  <c r="D64" i="7" s="1"/>
  <c r="O64" i="7" s="1"/>
  <c r="T77" i="3"/>
  <c r="B252" i="8"/>
  <c r="B264" i="8"/>
  <c r="C157" i="4"/>
  <c r="P69" i="3"/>
  <c r="L69" i="3"/>
  <c r="H69" i="3"/>
  <c r="S69" i="3"/>
  <c r="O69" i="3"/>
  <c r="K69" i="3"/>
  <c r="M69" i="3"/>
  <c r="N69" i="3"/>
  <c r="R69" i="3"/>
  <c r="J69" i="3"/>
  <c r="Q69" i="3"/>
  <c r="I69" i="3"/>
  <c r="P72" i="3"/>
  <c r="L72" i="3"/>
  <c r="H72" i="3"/>
  <c r="S72" i="3"/>
  <c r="O72" i="3"/>
  <c r="K72" i="3"/>
  <c r="Q72" i="3"/>
  <c r="I72" i="3"/>
  <c r="N72" i="3"/>
  <c r="M72" i="3"/>
  <c r="R72" i="3"/>
  <c r="J72" i="3"/>
  <c r="S64" i="3"/>
  <c r="O64" i="3"/>
  <c r="K64" i="3"/>
  <c r="P64" i="3"/>
  <c r="J64" i="3"/>
  <c r="Q64" i="3"/>
  <c r="N64" i="3"/>
  <c r="I64" i="3"/>
  <c r="R64" i="3"/>
  <c r="M64" i="3"/>
  <c r="H64" i="3"/>
  <c r="L64" i="3"/>
  <c r="P75" i="3"/>
  <c r="L75" i="3"/>
  <c r="H75" i="3"/>
  <c r="S75" i="3"/>
  <c r="O75" i="3"/>
  <c r="K75" i="3"/>
  <c r="M75" i="3"/>
  <c r="R75" i="3"/>
  <c r="J75" i="3"/>
  <c r="Q75" i="3"/>
  <c r="I75" i="3"/>
  <c r="N75" i="3"/>
  <c r="P71" i="3"/>
  <c r="L71" i="3"/>
  <c r="H71" i="3"/>
  <c r="S71" i="3"/>
  <c r="O71" i="3"/>
  <c r="K71" i="3"/>
  <c r="M71" i="3"/>
  <c r="N71" i="3"/>
  <c r="R71" i="3"/>
  <c r="J71" i="3"/>
  <c r="Q71" i="3"/>
  <c r="I71" i="3"/>
  <c r="S67" i="3"/>
  <c r="O67" i="3"/>
  <c r="K67" i="3"/>
  <c r="Q67" i="3"/>
  <c r="L67" i="3"/>
  <c r="M67" i="3"/>
  <c r="P67" i="3"/>
  <c r="J67" i="3"/>
  <c r="N67" i="3"/>
  <c r="I67" i="3"/>
  <c r="R67" i="3"/>
  <c r="H67" i="3"/>
  <c r="S63" i="3"/>
  <c r="O63" i="3"/>
  <c r="K63" i="3"/>
  <c r="Q63" i="3"/>
  <c r="L63" i="3"/>
  <c r="R63" i="3"/>
  <c r="H63" i="3"/>
  <c r="P63" i="3"/>
  <c r="J63" i="3"/>
  <c r="N63" i="3"/>
  <c r="I63" i="3"/>
  <c r="M63" i="3"/>
  <c r="P73" i="3"/>
  <c r="L73" i="3"/>
  <c r="H73" i="3"/>
  <c r="S73" i="3"/>
  <c r="O73" i="3"/>
  <c r="K73" i="3"/>
  <c r="M73" i="3"/>
  <c r="R73" i="3"/>
  <c r="J73" i="3"/>
  <c r="Q73" i="3"/>
  <c r="I73" i="3"/>
  <c r="N73" i="3"/>
  <c r="S65" i="3"/>
  <c r="O65" i="3"/>
  <c r="K65" i="3"/>
  <c r="N65" i="3"/>
  <c r="I65" i="3"/>
  <c r="P65" i="3"/>
  <c r="R65" i="3"/>
  <c r="M65" i="3"/>
  <c r="H65" i="3"/>
  <c r="Q65" i="3"/>
  <c r="L65" i="3"/>
  <c r="J65" i="3"/>
  <c r="P76" i="3"/>
  <c r="L76" i="3"/>
  <c r="H76" i="3"/>
  <c r="S76" i="3"/>
  <c r="O76" i="3"/>
  <c r="K76" i="3"/>
  <c r="Q76" i="3"/>
  <c r="I76" i="3"/>
  <c r="N76" i="3"/>
  <c r="M76" i="3"/>
  <c r="R76" i="3"/>
  <c r="J76" i="3"/>
  <c r="P68" i="3"/>
  <c r="S68" i="3"/>
  <c r="O68" i="3"/>
  <c r="K68" i="3"/>
  <c r="Q68" i="3"/>
  <c r="J68" i="3"/>
  <c r="L68" i="3"/>
  <c r="N68" i="3"/>
  <c r="I68" i="3"/>
  <c r="M68" i="3"/>
  <c r="H68" i="3"/>
  <c r="R68" i="3"/>
  <c r="P74" i="3"/>
  <c r="L74" i="3"/>
  <c r="H74" i="3"/>
  <c r="S74" i="3"/>
  <c r="O74" i="3"/>
  <c r="K74" i="3"/>
  <c r="Q74" i="3"/>
  <c r="I74" i="3"/>
  <c r="J74" i="3"/>
  <c r="N74" i="3"/>
  <c r="M74" i="3"/>
  <c r="R74" i="3"/>
  <c r="P70" i="3"/>
  <c r="L70" i="3"/>
  <c r="H70" i="3"/>
  <c r="S70" i="3"/>
  <c r="O70" i="3"/>
  <c r="K70" i="3"/>
  <c r="Q70" i="3"/>
  <c r="I70" i="3"/>
  <c r="N70" i="3"/>
  <c r="M70" i="3"/>
  <c r="R70" i="3"/>
  <c r="J70" i="3"/>
  <c r="S66" i="3"/>
  <c r="O66" i="3"/>
  <c r="K66" i="3"/>
  <c r="R66" i="3"/>
  <c r="M66" i="3"/>
  <c r="H66" i="3"/>
  <c r="N66" i="3"/>
  <c r="Q66" i="3"/>
  <c r="L66" i="3"/>
  <c r="P66" i="3"/>
  <c r="J66" i="3"/>
  <c r="I66" i="3"/>
  <c r="S62" i="3"/>
  <c r="O62" i="3"/>
  <c r="K62" i="3"/>
  <c r="R62" i="3"/>
  <c r="N62" i="3"/>
  <c r="J62" i="3"/>
  <c r="Q62" i="3"/>
  <c r="M62" i="3"/>
  <c r="I62" i="3"/>
  <c r="P62" i="3"/>
  <c r="L62" i="3"/>
  <c r="B97" i="4" l="1"/>
  <c r="A70" i="12"/>
  <c r="F107" i="8"/>
  <c r="E107" i="8" s="1"/>
  <c r="D62" i="5"/>
  <c r="E39" i="5"/>
  <c r="B91" i="5" s="1"/>
  <c r="B99" i="5" s="1"/>
  <c r="J104" i="8"/>
  <c r="J107" i="8" s="1"/>
  <c r="P104" i="8"/>
  <c r="P107" i="8" s="1"/>
  <c r="H104" i="8"/>
  <c r="H107" i="8" s="1"/>
  <c r="E104" i="8"/>
  <c r="Q104" i="8"/>
  <c r="Q107" i="8" s="1"/>
  <c r="O104" i="8"/>
  <c r="O107" i="8" s="1"/>
  <c r="I104" i="8"/>
  <c r="I107" i="8" s="1"/>
  <c r="L104" i="8"/>
  <c r="L107" i="8" s="1"/>
  <c r="K104" i="8"/>
  <c r="K107" i="8" s="1"/>
  <c r="G104" i="8"/>
  <c r="G107" i="8" s="1"/>
  <c r="R104" i="8"/>
  <c r="R107" i="8" s="1"/>
  <c r="N104" i="8"/>
  <c r="N107" i="8" s="1"/>
  <c r="M104" i="8"/>
  <c r="M107" i="8" s="1"/>
  <c r="A2" i="12"/>
  <c r="C65" i="8"/>
  <c r="H64" i="7"/>
  <c r="N64" i="7"/>
  <c r="J64" i="7"/>
  <c r="F64" i="7"/>
  <c r="L64" i="7"/>
  <c r="I64" i="7"/>
  <c r="P64" i="7"/>
  <c r="G64" i="7"/>
  <c r="M64" i="7"/>
  <c r="C73" i="7"/>
  <c r="K64" i="7"/>
  <c r="E64" i="7"/>
  <c r="H79" i="3"/>
  <c r="T62" i="3"/>
  <c r="T70" i="3"/>
  <c r="T74" i="3"/>
  <c r="T68" i="3"/>
  <c r="T76" i="3"/>
  <c r="T73" i="3"/>
  <c r="T67" i="3"/>
  <c r="T66" i="3"/>
  <c r="T63" i="3"/>
  <c r="T71" i="3"/>
  <c r="T75" i="3"/>
  <c r="T64" i="3"/>
  <c r="T72" i="3"/>
  <c r="T69" i="3"/>
  <c r="T65" i="3"/>
  <c r="A5" i="13"/>
  <c r="A38" i="13" s="1"/>
  <c r="A45" i="13" s="1"/>
  <c r="C128" i="8"/>
  <c r="B167" i="3"/>
  <c r="C115" i="8"/>
  <c r="E13" i="7"/>
  <c r="C22" i="8"/>
  <c r="B240" i="8" s="1"/>
  <c r="C15" i="6"/>
  <c r="E26" i="6"/>
  <c r="C17" i="5"/>
  <c r="H78" i="3"/>
  <c r="J78" i="3"/>
  <c r="O78" i="3"/>
  <c r="Q78" i="3"/>
  <c r="P78" i="3"/>
  <c r="I78" i="3"/>
  <c r="S78" i="3"/>
  <c r="M78" i="3"/>
  <c r="R78" i="3"/>
  <c r="N78" i="3"/>
  <c r="L78" i="3"/>
  <c r="K78" i="3"/>
  <c r="I18" i="3"/>
  <c r="D39" i="3"/>
  <c r="B57" i="3"/>
  <c r="C107" i="3" s="1"/>
  <c r="N79" i="3"/>
  <c r="I79" i="3"/>
  <c r="S79" i="3"/>
  <c r="R79" i="3"/>
  <c r="L79" i="3"/>
  <c r="O79" i="3"/>
  <c r="J79" i="3"/>
  <c r="K79" i="3"/>
  <c r="Q79" i="3"/>
  <c r="P79" i="3"/>
  <c r="M79" i="3"/>
  <c r="L67" i="9"/>
  <c r="L68" i="9"/>
  <c r="L69" i="9"/>
  <c r="L78" i="9"/>
  <c r="C76" i="9"/>
  <c r="C78" i="9"/>
  <c r="C77" i="9"/>
  <c r="C75" i="9"/>
  <c r="L66" i="9"/>
  <c r="C70" i="9"/>
  <c r="C69" i="9"/>
  <c r="C68" i="9"/>
  <c r="E46" i="8"/>
  <c r="A26" i="12" l="1"/>
  <c r="C30" i="12" s="1"/>
  <c r="A69" i="12" s="1"/>
  <c r="B69" i="12" s="1"/>
  <c r="G39" i="12"/>
  <c r="O38" i="12"/>
  <c r="F39" i="12"/>
  <c r="E39" i="12" s="1"/>
  <c r="O39" i="12"/>
  <c r="J39" i="12"/>
  <c r="P39" i="12"/>
  <c r="K39" i="12"/>
  <c r="N38" i="12"/>
  <c r="K38" i="12"/>
  <c r="Q38" i="12"/>
  <c r="Q39" i="12"/>
  <c r="M38" i="12"/>
  <c r="G38" i="12"/>
  <c r="H39" i="12"/>
  <c r="P38" i="12"/>
  <c r="H38" i="12"/>
  <c r="F38" i="12"/>
  <c r="M39" i="12"/>
  <c r="I38" i="12"/>
  <c r="I39" i="12"/>
  <c r="N39" i="12"/>
  <c r="L39" i="12"/>
  <c r="L38" i="12"/>
  <c r="J38" i="12"/>
  <c r="C53" i="12"/>
  <c r="A71" i="12" s="1"/>
  <c r="B70" i="12"/>
  <c r="B72" i="12" s="1"/>
  <c r="K10" i="12"/>
  <c r="H10" i="12"/>
  <c r="P10" i="12"/>
  <c r="N10" i="12"/>
  <c r="Q10" i="12"/>
  <c r="O10" i="12"/>
  <c r="M10" i="12"/>
  <c r="G10" i="12"/>
  <c r="F10" i="12"/>
  <c r="I10" i="12"/>
  <c r="J10" i="12"/>
  <c r="L10" i="12"/>
  <c r="H80" i="3"/>
  <c r="I158" i="3"/>
  <c r="L80" i="3"/>
  <c r="Q80" i="3"/>
  <c r="J80" i="3"/>
  <c r="I80" i="3"/>
  <c r="O80" i="3"/>
  <c r="N80" i="3"/>
  <c r="P80" i="3"/>
  <c r="R80" i="3"/>
  <c r="M80" i="3"/>
  <c r="K80" i="3"/>
  <c r="S80" i="3"/>
  <c r="T79" i="3"/>
  <c r="T80" i="3" s="1"/>
  <c r="B39" i="8"/>
  <c r="B38" i="7"/>
  <c r="B5" i="7"/>
  <c r="B5" i="6"/>
  <c r="D41" i="6"/>
  <c r="F86" i="5"/>
  <c r="D43" i="7" s="1"/>
  <c r="C34" i="5"/>
  <c r="C29" i="5"/>
  <c r="C24" i="5"/>
  <c r="C36" i="5" s="1"/>
  <c r="B5" i="5"/>
  <c r="L77" i="9"/>
  <c r="L76" i="9"/>
  <c r="L75" i="9"/>
  <c r="B5" i="4"/>
  <c r="B55" i="4" s="1"/>
  <c r="C122" i="3"/>
  <c r="D38" i="7" s="1"/>
  <c r="C115" i="3"/>
  <c r="C131" i="4" l="1"/>
  <c r="H20" i="4"/>
  <c r="I20" i="4" s="1"/>
  <c r="B71" i="12"/>
  <c r="B73" i="12" s="1"/>
  <c r="L40" i="12"/>
  <c r="P40" i="12"/>
  <c r="G40" i="12"/>
  <c r="Q40" i="12"/>
  <c r="O40" i="12"/>
  <c r="H40" i="12"/>
  <c r="M40" i="12"/>
  <c r="I40" i="12"/>
  <c r="E38" i="12"/>
  <c r="E41" i="12" s="1"/>
  <c r="F40" i="12"/>
  <c r="E40" i="12" s="1"/>
  <c r="K40" i="12"/>
  <c r="J40" i="12"/>
  <c r="N40" i="12"/>
  <c r="I86" i="5"/>
  <c r="P20" i="4"/>
  <c r="Q20" i="4" s="1"/>
  <c r="C37" i="7"/>
  <c r="K58" i="4"/>
  <c r="E58" i="4"/>
  <c r="I58" i="4"/>
  <c r="F58" i="4"/>
  <c r="C58" i="4"/>
  <c r="C64" i="4" s="1"/>
  <c r="O56" i="4"/>
  <c r="J58" i="4"/>
  <c r="E10" i="12"/>
  <c r="N58" i="4"/>
  <c r="M58" i="4"/>
  <c r="H58" i="4"/>
  <c r="G58" i="4"/>
  <c r="D58" i="4"/>
  <c r="L58" i="4"/>
  <c r="F161" i="3"/>
  <c r="C169" i="3"/>
  <c r="F33" i="7"/>
  <c r="G33" i="7" s="1"/>
  <c r="C158" i="3"/>
  <c r="C33" i="7" s="1"/>
  <c r="C117" i="3"/>
  <c r="C20" i="6"/>
  <c r="H123" i="4"/>
  <c r="B5" i="3"/>
  <c r="F131" i="4" l="1"/>
  <c r="D20" i="4"/>
  <c r="F20" i="4" s="1"/>
  <c r="C20" i="4"/>
  <c r="G20" i="4" s="1"/>
  <c r="B8" i="13"/>
  <c r="C21" i="6"/>
  <c r="B7" i="13"/>
  <c r="J64" i="4"/>
  <c r="J59" i="4"/>
  <c r="J65" i="4" s="1"/>
  <c r="I64" i="4"/>
  <c r="I59" i="4"/>
  <c r="I65" i="4" s="1"/>
  <c r="L64" i="4"/>
  <c r="L59" i="4"/>
  <c r="L65" i="4" s="1"/>
  <c r="H64" i="4"/>
  <c r="H59" i="4"/>
  <c r="H65" i="4" s="1"/>
  <c r="M64" i="4"/>
  <c r="M59" i="4"/>
  <c r="M65" i="4" s="1"/>
  <c r="C59" i="4"/>
  <c r="E64" i="4"/>
  <c r="E59" i="4"/>
  <c r="E65" i="4" s="1"/>
  <c r="N64" i="4"/>
  <c r="N59" i="4"/>
  <c r="N65" i="4" s="1"/>
  <c r="F64" i="4"/>
  <c r="F59" i="4"/>
  <c r="F65" i="4" s="1"/>
  <c r="K64" i="4"/>
  <c r="K59" i="4"/>
  <c r="K65" i="4" s="1"/>
  <c r="G64" i="4"/>
  <c r="G59" i="4"/>
  <c r="G65" i="4" s="1"/>
  <c r="D64" i="4"/>
  <c r="D59" i="4"/>
  <c r="D65" i="4" s="1"/>
  <c r="C86" i="5"/>
  <c r="C43" i="7" s="1"/>
  <c r="F43" i="7"/>
  <c r="G43" i="7" s="1"/>
  <c r="L20" i="4"/>
  <c r="N20" i="4" s="1"/>
  <c r="D37" i="7"/>
  <c r="K20" i="4"/>
  <c r="O20" i="4" s="1"/>
  <c r="K35" i="8"/>
  <c r="K160" i="8" s="1"/>
  <c r="G35" i="8"/>
  <c r="G160" i="8" s="1"/>
  <c r="P35" i="8"/>
  <c r="P160" i="8" s="1"/>
  <c r="M35" i="8"/>
  <c r="M160" i="8" s="1"/>
  <c r="O35" i="8"/>
  <c r="O160" i="8" s="1"/>
  <c r="J35" i="8"/>
  <c r="J160" i="8" s="1"/>
  <c r="N35" i="8"/>
  <c r="N160" i="8" s="1"/>
  <c r="Q35" i="8"/>
  <c r="Q160" i="8" s="1"/>
  <c r="I35" i="8"/>
  <c r="I160" i="8" s="1"/>
  <c r="L35" i="8"/>
  <c r="L160" i="8" s="1"/>
  <c r="H35" i="8"/>
  <c r="H160" i="8" s="1"/>
  <c r="R35" i="8"/>
  <c r="R160" i="8" s="1"/>
  <c r="H24" i="9"/>
  <c r="O58" i="4"/>
  <c r="O64" i="4" s="1"/>
  <c r="C73" i="4"/>
  <c r="C72" i="4"/>
  <c r="O67" i="4"/>
  <c r="D70" i="8"/>
  <c r="F70" i="8" s="1"/>
  <c r="F160" i="3"/>
  <c r="F38" i="7"/>
  <c r="C161" i="3"/>
  <c r="I161" i="3"/>
  <c r="H25" i="9"/>
  <c r="F34" i="7"/>
  <c r="L34" i="7"/>
  <c r="C39" i="7"/>
  <c r="E24" i="3"/>
  <c r="B14" i="13" l="1"/>
  <c r="C14" i="13" s="1"/>
  <c r="C65" i="4"/>
  <c r="H71" i="4" s="1"/>
  <c r="C158" i="4"/>
  <c r="D51" i="8"/>
  <c r="F51" i="8" s="1"/>
  <c r="J51" i="8" s="1"/>
  <c r="B11" i="13"/>
  <c r="F22" i="13" s="1"/>
  <c r="G22" i="13" s="1"/>
  <c r="D39" i="8"/>
  <c r="F39" i="8" s="1"/>
  <c r="G38" i="7"/>
  <c r="B9" i="13"/>
  <c r="F158" i="4"/>
  <c r="D98" i="8" s="1"/>
  <c r="H72" i="4"/>
  <c r="H73" i="4"/>
  <c r="C10" i="12"/>
  <c r="I131" i="4"/>
  <c r="F37" i="7"/>
  <c r="C160" i="3"/>
  <c r="C162" i="3" s="1"/>
  <c r="F170" i="3"/>
  <c r="K170" i="3"/>
  <c r="L170" i="3"/>
  <c r="J170" i="3"/>
  <c r="O170" i="3"/>
  <c r="D170" i="3"/>
  <c r="N170" i="3"/>
  <c r="I170" i="3"/>
  <c r="E170" i="3"/>
  <c r="G170" i="3"/>
  <c r="H170" i="3"/>
  <c r="M170" i="3"/>
  <c r="I160" i="3"/>
  <c r="F162" i="3"/>
  <c r="I162" i="3" s="1"/>
  <c r="I43" i="7"/>
  <c r="K43" i="7"/>
  <c r="S43" i="7"/>
  <c r="R43" i="7"/>
  <c r="H43" i="7"/>
  <c r="M43" i="7"/>
  <c r="J43" i="7"/>
  <c r="Q43" i="7"/>
  <c r="P43" i="7"/>
  <c r="O43" i="7"/>
  <c r="L43" i="7"/>
  <c r="N43" i="7"/>
  <c r="AM63" i="2"/>
  <c r="D39" i="7"/>
  <c r="D34" i="7"/>
  <c r="H34" i="7"/>
  <c r="M34" i="7"/>
  <c r="J34" i="7"/>
  <c r="P34" i="7"/>
  <c r="Q34" i="7"/>
  <c r="N34" i="7"/>
  <c r="K34" i="7"/>
  <c r="R34" i="7"/>
  <c r="O34" i="7"/>
  <c r="I34" i="7"/>
  <c r="S34" i="7"/>
  <c r="D66" i="5"/>
  <c r="C127" i="8" l="1"/>
  <c r="F27" i="13"/>
  <c r="G27" i="13" s="1"/>
  <c r="C28" i="13"/>
  <c r="C25" i="13"/>
  <c r="C29" i="13"/>
  <c r="C30" i="13"/>
  <c r="C22" i="13"/>
  <c r="D22" i="13" s="1"/>
  <c r="C26" i="13"/>
  <c r="C27" i="13"/>
  <c r="C23" i="13"/>
  <c r="C31" i="13"/>
  <c r="C24" i="13"/>
  <c r="C32" i="13"/>
  <c r="C33" i="13"/>
  <c r="F23" i="13"/>
  <c r="G23" i="13" s="1"/>
  <c r="F31" i="13"/>
  <c r="G31" i="13" s="1"/>
  <c r="F24" i="13"/>
  <c r="G24" i="13" s="1"/>
  <c r="F32" i="13"/>
  <c r="G32" i="13" s="1"/>
  <c r="F25" i="13"/>
  <c r="G25" i="13" s="1"/>
  <c r="F33" i="13"/>
  <c r="G33" i="13" s="1"/>
  <c r="F29" i="13"/>
  <c r="G29" i="13" s="1"/>
  <c r="F26" i="13"/>
  <c r="F28" i="13"/>
  <c r="G28" i="13" s="1"/>
  <c r="F30" i="13"/>
  <c r="G30" i="13" s="1"/>
  <c r="K51" i="8"/>
  <c r="O51" i="8"/>
  <c r="E51" i="8"/>
  <c r="Q51" i="8"/>
  <c r="N51" i="8"/>
  <c r="G51" i="8"/>
  <c r="M51" i="8"/>
  <c r="P51" i="8"/>
  <c r="L51" i="8"/>
  <c r="R51" i="8"/>
  <c r="I51" i="8"/>
  <c r="H51" i="8"/>
  <c r="F66" i="5"/>
  <c r="F85" i="5"/>
  <c r="D42" i="7" s="1"/>
  <c r="I98" i="8"/>
  <c r="I100" i="8" s="1"/>
  <c r="I108" i="8" s="1"/>
  <c r="I121" i="8" s="1"/>
  <c r="M98" i="8"/>
  <c r="M100" i="8" s="1"/>
  <c r="M108" i="8" s="1"/>
  <c r="M121" i="8" s="1"/>
  <c r="Q98" i="8"/>
  <c r="Q100" i="8" s="1"/>
  <c r="Q108" i="8" s="1"/>
  <c r="Q121" i="8" s="1"/>
  <c r="K98" i="8"/>
  <c r="K100" i="8" s="1"/>
  <c r="K108" i="8" s="1"/>
  <c r="K121" i="8" s="1"/>
  <c r="G98" i="8"/>
  <c r="G100" i="8" s="1"/>
  <c r="G108" i="8" s="1"/>
  <c r="G121" i="8" s="1"/>
  <c r="L98" i="8"/>
  <c r="L100" i="8" s="1"/>
  <c r="L108" i="8" s="1"/>
  <c r="L121" i="8" s="1"/>
  <c r="J98" i="8"/>
  <c r="J100" i="8" s="1"/>
  <c r="J108" i="8" s="1"/>
  <c r="J121" i="8" s="1"/>
  <c r="N98" i="8"/>
  <c r="N100" i="8" s="1"/>
  <c r="N108" i="8" s="1"/>
  <c r="N121" i="8" s="1"/>
  <c r="R98" i="8"/>
  <c r="R100" i="8" s="1"/>
  <c r="R108" i="8" s="1"/>
  <c r="R121" i="8" s="1"/>
  <c r="F98" i="8"/>
  <c r="O98" i="8"/>
  <c r="O100" i="8" s="1"/>
  <c r="O108" i="8" s="1"/>
  <c r="O121" i="8" s="1"/>
  <c r="H98" i="8"/>
  <c r="H100" i="8" s="1"/>
  <c r="H108" i="8" s="1"/>
  <c r="H121" i="8" s="1"/>
  <c r="P98" i="8"/>
  <c r="P100" i="8" s="1"/>
  <c r="P108" i="8" s="1"/>
  <c r="P121" i="8" s="1"/>
  <c r="D38" i="8"/>
  <c r="H244" i="8" s="1"/>
  <c r="G37" i="7"/>
  <c r="E34" i="8"/>
  <c r="F35" i="8"/>
  <c r="D160" i="8" s="1"/>
  <c r="D100" i="8"/>
  <c r="F100" i="8" s="1"/>
  <c r="P39" i="8"/>
  <c r="C13" i="12"/>
  <c r="J70" i="8"/>
  <c r="I70" i="8"/>
  <c r="L70" i="8"/>
  <c r="Q70" i="8"/>
  <c r="M70" i="8"/>
  <c r="O70" i="8"/>
  <c r="E70" i="8"/>
  <c r="H70" i="8"/>
  <c r="R70" i="8"/>
  <c r="G70" i="8"/>
  <c r="K70" i="8"/>
  <c r="N70" i="8"/>
  <c r="P70" i="8"/>
  <c r="C170" i="3"/>
  <c r="O38" i="7"/>
  <c r="H38" i="7"/>
  <c r="R38" i="7"/>
  <c r="S38" i="7"/>
  <c r="L38" i="7"/>
  <c r="Q38" i="7"/>
  <c r="J38" i="7"/>
  <c r="I38" i="7"/>
  <c r="K38" i="7"/>
  <c r="P38" i="7"/>
  <c r="N38" i="7"/>
  <c r="M38" i="7"/>
  <c r="F39" i="7"/>
  <c r="D164" i="3"/>
  <c r="E164" i="3"/>
  <c r="AO70" i="2"/>
  <c r="AP70" i="2" s="1"/>
  <c r="AO80" i="2"/>
  <c r="AO79" i="2"/>
  <c r="AO81" i="2"/>
  <c r="AO68" i="2"/>
  <c r="AP68" i="2" s="1"/>
  <c r="AO75" i="2"/>
  <c r="AP75" i="2" s="1"/>
  <c r="AO69" i="2"/>
  <c r="AP69" i="2" s="1"/>
  <c r="AO74" i="2"/>
  <c r="AP74" i="2" s="1"/>
  <c r="C34" i="7"/>
  <c r="C89" i="9"/>
  <c r="D89" i="9" s="1"/>
  <c r="G34" i="7"/>
  <c r="C53" i="7" s="1"/>
  <c r="G26" i="13" l="1"/>
  <c r="F42" i="5" s="1"/>
  <c r="G42" i="5" s="1"/>
  <c r="E42" i="5"/>
  <c r="N42" i="5" s="1"/>
  <c r="F51" i="5"/>
  <c r="G51" i="5" s="1"/>
  <c r="H51" i="5" s="1"/>
  <c r="F52" i="5"/>
  <c r="G52" i="5" s="1"/>
  <c r="H52" i="5" s="1"/>
  <c r="F53" i="5"/>
  <c r="G53" i="5" s="1"/>
  <c r="H53" i="5" s="1"/>
  <c r="F48" i="5"/>
  <c r="F43" i="5"/>
  <c r="F47" i="5"/>
  <c r="F50" i="5"/>
  <c r="F45" i="5"/>
  <c r="F49" i="5"/>
  <c r="F46" i="5"/>
  <c r="F44" i="5"/>
  <c r="D27" i="13"/>
  <c r="D26" i="13"/>
  <c r="C34" i="13"/>
  <c r="D33" i="13"/>
  <c r="D30" i="13"/>
  <c r="D24" i="13"/>
  <c r="D25" i="13"/>
  <c r="D29" i="13"/>
  <c r="D31" i="13"/>
  <c r="D28" i="13"/>
  <c r="D32" i="13"/>
  <c r="D23" i="13"/>
  <c r="E47" i="5"/>
  <c r="N47" i="5" s="1"/>
  <c r="E46" i="5"/>
  <c r="N46" i="5" s="1"/>
  <c r="E45" i="5"/>
  <c r="N45" i="5" s="1"/>
  <c r="E52" i="5"/>
  <c r="N52" i="5" s="1"/>
  <c r="E44" i="5"/>
  <c r="N44" i="5" s="1"/>
  <c r="E43" i="5"/>
  <c r="N43" i="5" s="1"/>
  <c r="E48" i="5"/>
  <c r="N48" i="5" s="1"/>
  <c r="E53" i="5"/>
  <c r="N53" i="5" s="1"/>
  <c r="E49" i="5"/>
  <c r="N49" i="5" s="1"/>
  <c r="E51" i="5"/>
  <c r="N51" i="5" s="1"/>
  <c r="J244" i="8"/>
  <c r="F244" i="8"/>
  <c r="F38" i="8"/>
  <c r="C12" i="12"/>
  <c r="Q12" i="12" s="1"/>
  <c r="D244" i="8"/>
  <c r="G244" i="8"/>
  <c r="L244" i="8"/>
  <c r="K244" i="8"/>
  <c r="O244" i="8"/>
  <c r="I244" i="8"/>
  <c r="D41" i="8"/>
  <c r="F41" i="8" s="1"/>
  <c r="E41" i="8" s="1"/>
  <c r="M244" i="8"/>
  <c r="E244" i="8"/>
  <c r="N244" i="8"/>
  <c r="C23" i="6"/>
  <c r="E35" i="8"/>
  <c r="D108" i="8"/>
  <c r="D121" i="8" s="1"/>
  <c r="E98" i="8"/>
  <c r="N39" i="8"/>
  <c r="M39" i="8"/>
  <c r="I39" i="8"/>
  <c r="H39" i="8"/>
  <c r="J39" i="8"/>
  <c r="G39" i="8"/>
  <c r="Q39" i="8"/>
  <c r="O39" i="8"/>
  <c r="K39" i="8"/>
  <c r="E39" i="8"/>
  <c r="L39" i="8"/>
  <c r="R39" i="8"/>
  <c r="G13" i="12"/>
  <c r="Q13" i="12"/>
  <c r="I13" i="12"/>
  <c r="M13" i="12"/>
  <c r="N13" i="12"/>
  <c r="J13" i="12"/>
  <c r="F13" i="12"/>
  <c r="P13" i="12"/>
  <c r="O13" i="12"/>
  <c r="L13" i="12"/>
  <c r="H13" i="12"/>
  <c r="K13" i="12"/>
  <c r="F73" i="5"/>
  <c r="K37" i="7"/>
  <c r="K39" i="7" s="1"/>
  <c r="H37" i="7"/>
  <c r="H39" i="7" s="1"/>
  <c r="M37" i="7"/>
  <c r="M39" i="7" s="1"/>
  <c r="I37" i="7"/>
  <c r="I39" i="7" s="1"/>
  <c r="L37" i="7"/>
  <c r="L39" i="7" s="1"/>
  <c r="N37" i="7"/>
  <c r="N39" i="7" s="1"/>
  <c r="Q37" i="7"/>
  <c r="Q39" i="7" s="1"/>
  <c r="P37" i="7"/>
  <c r="P39" i="7" s="1"/>
  <c r="O37" i="7"/>
  <c r="O39" i="7" s="1"/>
  <c r="S37" i="7"/>
  <c r="S39" i="7" s="1"/>
  <c r="J37" i="7"/>
  <c r="J39" i="7" s="1"/>
  <c r="R37" i="7"/>
  <c r="R39" i="7" s="1"/>
  <c r="G39" i="7"/>
  <c r="C55" i="7" s="1"/>
  <c r="F42" i="7"/>
  <c r="C85" i="5"/>
  <c r="I85" i="5"/>
  <c r="F160" i="8"/>
  <c r="AP81" i="2"/>
  <c r="AV81" i="2" s="1"/>
  <c r="AU81" i="2"/>
  <c r="AP79" i="2"/>
  <c r="AV79" i="2" s="1"/>
  <c r="AU79" i="2"/>
  <c r="AP80" i="2"/>
  <c r="AV80" i="2" s="1"/>
  <c r="AU80" i="2"/>
  <c r="L89" i="9"/>
  <c r="M89" i="9" s="1"/>
  <c r="L78" i="2"/>
  <c r="W78" i="2" s="1"/>
  <c r="D45" i="3"/>
  <c r="E45" i="3" s="1"/>
  <c r="W70" i="2"/>
  <c r="L68" i="2"/>
  <c r="W68" i="2" s="1"/>
  <c r="L69" i="2"/>
  <c r="W69" i="2" s="1"/>
  <c r="L76" i="2"/>
  <c r="W76" i="2" s="1"/>
  <c r="W72" i="2"/>
  <c r="L71" i="2"/>
  <c r="W71" i="2" s="1"/>
  <c r="L73" i="2"/>
  <c r="W73" i="2" s="1"/>
  <c r="Y73" i="2" s="1"/>
  <c r="Z73" i="2" s="1"/>
  <c r="L74" i="2"/>
  <c r="W74" i="2" s="1"/>
  <c r="Y74" i="2" s="1"/>
  <c r="Z74" i="2" s="1"/>
  <c r="L75" i="2"/>
  <c r="W75" i="2" s="1"/>
  <c r="Y75" i="2" s="1"/>
  <c r="Z75" i="2" s="1"/>
  <c r="L77" i="2"/>
  <c r="W77" i="2" s="1"/>
  <c r="M68" i="2"/>
  <c r="X68" i="2" s="1"/>
  <c r="M69" i="2"/>
  <c r="X69" i="2" s="1"/>
  <c r="M76" i="2"/>
  <c r="X76" i="2" s="1"/>
  <c r="M72" i="2"/>
  <c r="X72" i="2" s="1"/>
  <c r="M71" i="2"/>
  <c r="X71" i="2" s="1"/>
  <c r="M77" i="2"/>
  <c r="X77" i="2" s="1"/>
  <c r="M78" i="2"/>
  <c r="X78" i="2" s="1"/>
  <c r="O54" i="5"/>
  <c r="D34" i="13" l="1"/>
  <c r="K12" i="12"/>
  <c r="C87" i="5"/>
  <c r="C42" i="7"/>
  <c r="C44" i="7" s="1"/>
  <c r="G43" i="5"/>
  <c r="O12" i="12"/>
  <c r="L12" i="12"/>
  <c r="N12" i="12"/>
  <c r="H12" i="12"/>
  <c r="I12" i="12"/>
  <c r="F12" i="12"/>
  <c r="G12" i="12"/>
  <c r="J12" i="12"/>
  <c r="P12" i="12"/>
  <c r="M12" i="12"/>
  <c r="P40" i="4"/>
  <c r="C28" i="7"/>
  <c r="P244" i="8"/>
  <c r="C244" i="8"/>
  <c r="D50" i="8"/>
  <c r="F50" i="8" s="1"/>
  <c r="G42" i="7"/>
  <c r="C34" i="9"/>
  <c r="F121" i="8"/>
  <c r="Y77" i="2"/>
  <c r="Z77" i="2" s="1"/>
  <c r="C24" i="6"/>
  <c r="B7" i="12"/>
  <c r="H7" i="12" s="1"/>
  <c r="E100" i="8"/>
  <c r="E108" i="8" s="1"/>
  <c r="F108" i="8"/>
  <c r="E13" i="12"/>
  <c r="X82" i="2"/>
  <c r="J20" i="3" s="1"/>
  <c r="Y71" i="2"/>
  <c r="Z71" i="2" s="1"/>
  <c r="Y68" i="2"/>
  <c r="Z68" i="2" s="1"/>
  <c r="M38" i="8"/>
  <c r="N38" i="8"/>
  <c r="P38" i="8"/>
  <c r="O38" i="8"/>
  <c r="Q38" i="8"/>
  <c r="J38" i="8"/>
  <c r="R38" i="8"/>
  <c r="I38" i="8"/>
  <c r="K38" i="8"/>
  <c r="G38" i="8"/>
  <c r="L38" i="8"/>
  <c r="H38" i="8"/>
  <c r="E38" i="8"/>
  <c r="L90" i="9"/>
  <c r="M90" i="9" s="1"/>
  <c r="Y72" i="2"/>
  <c r="Z72" i="2" s="1"/>
  <c r="Y70" i="2"/>
  <c r="Z70" i="2" s="1"/>
  <c r="Y76" i="2"/>
  <c r="Z76" i="2" s="1"/>
  <c r="Y69" i="2"/>
  <c r="Z69" i="2" s="1"/>
  <c r="Y78" i="2"/>
  <c r="Z78" i="2" s="1"/>
  <c r="C150" i="3"/>
  <c r="C145" i="4"/>
  <c r="F45" i="3"/>
  <c r="AJ70" i="2"/>
  <c r="AR70" i="2"/>
  <c r="AR82" i="2" s="1"/>
  <c r="J25" i="3" s="1"/>
  <c r="AB70" i="2"/>
  <c r="AF70" i="2"/>
  <c r="AM73" i="2"/>
  <c r="AO73" i="2" s="1"/>
  <c r="AP73" i="2" s="1"/>
  <c r="AI73" i="2"/>
  <c r="AK73" i="2" s="1"/>
  <c r="AL73" i="2" s="1"/>
  <c r="AE73" i="2"/>
  <c r="AG73" i="2" s="1"/>
  <c r="AH73" i="2" s="1"/>
  <c r="AA73" i="2"/>
  <c r="AC73" i="2" s="1"/>
  <c r="AA78" i="2"/>
  <c r="AM78" i="2"/>
  <c r="AI78" i="2"/>
  <c r="AE78" i="2"/>
  <c r="AJ78" i="2"/>
  <c r="AB78" i="2"/>
  <c r="AN78" i="2"/>
  <c r="AF78" i="2"/>
  <c r="AB76" i="2"/>
  <c r="AN76" i="2"/>
  <c r="AF76" i="2"/>
  <c r="AJ76" i="2"/>
  <c r="AM77" i="2"/>
  <c r="AI77" i="2"/>
  <c r="AE77" i="2"/>
  <c r="AA77" i="2"/>
  <c r="AM71" i="2"/>
  <c r="AA71" i="2"/>
  <c r="AI71" i="2"/>
  <c r="AE71" i="2"/>
  <c r="AI68" i="2"/>
  <c r="AE68" i="2"/>
  <c r="AA68" i="2"/>
  <c r="AA67" i="2"/>
  <c r="AC67" i="2" s="1"/>
  <c r="W67" i="2"/>
  <c r="AM67" i="2"/>
  <c r="AO67" i="2" s="1"/>
  <c r="AI67" i="2"/>
  <c r="AK67" i="2" s="1"/>
  <c r="AE67" i="2"/>
  <c r="AG67" i="2" s="1"/>
  <c r="L82" i="2"/>
  <c r="AB72" i="2"/>
  <c r="AF72" i="2"/>
  <c r="AJ72" i="2"/>
  <c r="AN72" i="2"/>
  <c r="AI69" i="2"/>
  <c r="AE69" i="2"/>
  <c r="AA69" i="2"/>
  <c r="AB77" i="2"/>
  <c r="AN77" i="2"/>
  <c r="AF77" i="2"/>
  <c r="AJ77" i="2"/>
  <c r="AB69" i="2"/>
  <c r="AF69" i="2"/>
  <c r="AJ69" i="2"/>
  <c r="AA75" i="2"/>
  <c r="AC75" i="2" s="1"/>
  <c r="AI75" i="2"/>
  <c r="AK75" i="2" s="1"/>
  <c r="AL75" i="2" s="1"/>
  <c r="AE75" i="2"/>
  <c r="AG75" i="2" s="1"/>
  <c r="AH75" i="2" s="1"/>
  <c r="AI72" i="2"/>
  <c r="AE72" i="2"/>
  <c r="AA72" i="2"/>
  <c r="AM72" i="2"/>
  <c r="AA70" i="2"/>
  <c r="AC70" i="2" s="1"/>
  <c r="AQ70" i="2"/>
  <c r="AI70" i="2"/>
  <c r="AE70" i="2"/>
  <c r="AF71" i="2"/>
  <c r="AJ71" i="2"/>
  <c r="AN71" i="2"/>
  <c r="AB71" i="2"/>
  <c r="AB68" i="2"/>
  <c r="AF68" i="2"/>
  <c r="AJ68" i="2"/>
  <c r="M82" i="2"/>
  <c r="AA74" i="2"/>
  <c r="AC74" i="2" s="1"/>
  <c r="AI74" i="2"/>
  <c r="AK74" i="2" s="1"/>
  <c r="AL74" i="2" s="1"/>
  <c r="AE74" i="2"/>
  <c r="AG74" i="2" s="1"/>
  <c r="AH74" i="2" s="1"/>
  <c r="AI76" i="2"/>
  <c r="AE76" i="2"/>
  <c r="AG76" i="2" s="1"/>
  <c r="AH76" i="2" s="1"/>
  <c r="AM76" i="2"/>
  <c r="AA76" i="2"/>
  <c r="I24" i="3"/>
  <c r="K24" i="3" s="1"/>
  <c r="J24" i="3"/>
  <c r="D43" i="3"/>
  <c r="E43" i="3" s="1"/>
  <c r="H38" i="4" s="1"/>
  <c r="I38" i="4" s="1"/>
  <c r="C114" i="4" s="1"/>
  <c r="D44" i="3"/>
  <c r="E44" i="3" s="1"/>
  <c r="H39" i="4" s="1"/>
  <c r="I39" i="4" s="1"/>
  <c r="C115" i="4" s="1"/>
  <c r="D42" i="3"/>
  <c r="E42" i="3" s="1"/>
  <c r="H37" i="4" s="1"/>
  <c r="I37" i="4" s="1"/>
  <c r="D48" i="3"/>
  <c r="E48" i="3" s="1"/>
  <c r="D47" i="3"/>
  <c r="E47" i="3" s="1"/>
  <c r="F47" i="3" l="1"/>
  <c r="C147" i="4"/>
  <c r="E41" i="3"/>
  <c r="H36" i="4" s="1"/>
  <c r="I36" i="4" s="1"/>
  <c r="AC76" i="2"/>
  <c r="AD76" i="2" s="1"/>
  <c r="AK70" i="2"/>
  <c r="AL70" i="2" s="1"/>
  <c r="F54" i="5"/>
  <c r="G50" i="5"/>
  <c r="H50" i="5" s="1"/>
  <c r="G44" i="5"/>
  <c r="H44" i="5" s="1"/>
  <c r="G47" i="5"/>
  <c r="H47" i="5" s="1"/>
  <c r="G48" i="5"/>
  <c r="H48" i="5" s="1"/>
  <c r="H43" i="5"/>
  <c r="G45" i="5"/>
  <c r="H45" i="5" s="1"/>
  <c r="G49" i="5"/>
  <c r="H49" i="5" s="1"/>
  <c r="G46" i="5"/>
  <c r="H46" i="5" s="1"/>
  <c r="F34" i="13"/>
  <c r="E50" i="5"/>
  <c r="N50" i="5" s="1"/>
  <c r="M247" i="8"/>
  <c r="N247" i="8"/>
  <c r="I247" i="8"/>
  <c r="O247" i="8"/>
  <c r="H247" i="8"/>
  <c r="L247" i="8"/>
  <c r="J247" i="8"/>
  <c r="E12" i="12"/>
  <c r="P37" i="4"/>
  <c r="Q37" i="4" s="1"/>
  <c r="C25" i="7"/>
  <c r="P41" i="4"/>
  <c r="C29" i="7"/>
  <c r="L40" i="4"/>
  <c r="N40" i="4" s="1"/>
  <c r="D28" i="7"/>
  <c r="D247" i="8"/>
  <c r="K247" i="8"/>
  <c r="G247" i="8"/>
  <c r="E247" i="8"/>
  <c r="F247" i="8"/>
  <c r="D53" i="8"/>
  <c r="H35" i="9" s="1"/>
  <c r="AK69" i="2"/>
  <c r="AL69" i="2" s="1"/>
  <c r="AO78" i="2"/>
  <c r="AP78" i="2" s="1"/>
  <c r="AG72" i="2"/>
  <c r="AH72" i="2" s="1"/>
  <c r="K40" i="4"/>
  <c r="O40" i="4" s="1"/>
  <c r="G7" i="12"/>
  <c r="M157" i="8"/>
  <c r="C157" i="8"/>
  <c r="L7" i="12"/>
  <c r="I7" i="12"/>
  <c r="J7" i="12"/>
  <c r="K157" i="8"/>
  <c r="O7" i="12"/>
  <c r="I157" i="8"/>
  <c r="L157" i="8"/>
  <c r="E121" i="8"/>
  <c r="R157" i="8"/>
  <c r="N157" i="8"/>
  <c r="J157" i="8"/>
  <c r="G157" i="8"/>
  <c r="H157" i="8"/>
  <c r="M7" i="12"/>
  <c r="N7" i="12"/>
  <c r="K7" i="12"/>
  <c r="F7" i="12"/>
  <c r="P157" i="8"/>
  <c r="O157" i="8"/>
  <c r="Q157" i="8"/>
  <c r="Q7" i="12"/>
  <c r="P7" i="12"/>
  <c r="L41" i="8"/>
  <c r="J41" i="8"/>
  <c r="K41" i="8"/>
  <c r="Q41" i="8"/>
  <c r="M41" i="8"/>
  <c r="R41" i="8"/>
  <c r="P41" i="8"/>
  <c r="G41" i="8"/>
  <c r="N41" i="8"/>
  <c r="H41" i="8"/>
  <c r="I41" i="8"/>
  <c r="O41" i="8"/>
  <c r="C11" i="12"/>
  <c r="G11" i="12" s="1"/>
  <c r="O42" i="7"/>
  <c r="L42" i="7"/>
  <c r="I42" i="7"/>
  <c r="J42" i="7"/>
  <c r="P42" i="7"/>
  <c r="Q42" i="7"/>
  <c r="S42" i="7"/>
  <c r="H42" i="7"/>
  <c r="M42" i="7"/>
  <c r="N42" i="7"/>
  <c r="C56" i="7"/>
  <c r="K42" i="7"/>
  <c r="R42" i="7"/>
  <c r="AN82" i="2"/>
  <c r="W82" i="2"/>
  <c r="I20" i="3" s="1"/>
  <c r="K20" i="3" s="1"/>
  <c r="Y67" i="2"/>
  <c r="Z67" i="2" s="1"/>
  <c r="AC69" i="2"/>
  <c r="AD69" i="2" s="1"/>
  <c r="AO72" i="2"/>
  <c r="AP72" i="2" s="1"/>
  <c r="AG68" i="2"/>
  <c r="AH68" i="2" s="1"/>
  <c r="C147" i="3"/>
  <c r="C142" i="4"/>
  <c r="F42" i="3"/>
  <c r="C151" i="3"/>
  <c r="F145" i="4"/>
  <c r="D88" i="8" s="1"/>
  <c r="F88" i="8" s="1"/>
  <c r="F150" i="3"/>
  <c r="AK78" i="2"/>
  <c r="AL78" i="2" s="1"/>
  <c r="AK71" i="2"/>
  <c r="AL71" i="2" s="1"/>
  <c r="AB82" i="2"/>
  <c r="J21" i="3" s="1"/>
  <c r="AC77" i="2"/>
  <c r="AD77" i="2" s="1"/>
  <c r="AD70" i="2"/>
  <c r="AD75" i="2"/>
  <c r="AV75" i="2" s="1"/>
  <c r="AU75" i="2"/>
  <c r="AH67" i="2"/>
  <c r="AG71" i="2"/>
  <c r="AH71" i="2" s="1"/>
  <c r="AG78" i="2"/>
  <c r="AH78" i="2" s="1"/>
  <c r="AD73" i="2"/>
  <c r="AV73" i="2" s="1"/>
  <c r="AU73" i="2"/>
  <c r="AK76" i="2"/>
  <c r="AL76" i="2" s="1"/>
  <c r="AG70" i="2"/>
  <c r="AH70" i="2" s="1"/>
  <c r="AK72" i="2"/>
  <c r="AL72" i="2" s="1"/>
  <c r="AG69" i="2"/>
  <c r="AH69" i="2" s="1"/>
  <c r="AL67" i="2"/>
  <c r="AC68" i="2"/>
  <c r="AG77" i="2"/>
  <c r="AH77" i="2" s="1"/>
  <c r="AD74" i="2"/>
  <c r="AV74" i="2" s="1"/>
  <c r="AU74" i="2"/>
  <c r="AD67" i="2"/>
  <c r="AP67" i="2"/>
  <c r="AC71" i="2"/>
  <c r="AK77" i="2"/>
  <c r="AL77" i="2" s="1"/>
  <c r="AO76" i="2"/>
  <c r="AP76" i="2" s="1"/>
  <c r="AQ82" i="2"/>
  <c r="I25" i="3" s="1"/>
  <c r="K25" i="3" s="1"/>
  <c r="AS70" i="2"/>
  <c r="AC72" i="2"/>
  <c r="AK68" i="2"/>
  <c r="AL68" i="2" s="1"/>
  <c r="AO71" i="2"/>
  <c r="AP71" i="2" s="1"/>
  <c r="AO77" i="2"/>
  <c r="AP77" i="2" s="1"/>
  <c r="AC78" i="2"/>
  <c r="AE82" i="2"/>
  <c r="I22" i="3" s="1"/>
  <c r="AA82" i="2"/>
  <c r="I21" i="3" s="1"/>
  <c r="AI82" i="2"/>
  <c r="I23" i="3" s="1"/>
  <c r="AJ82" i="2"/>
  <c r="J23" i="3" s="1"/>
  <c r="AM82" i="2"/>
  <c r="AF82" i="2"/>
  <c r="J22" i="3" s="1"/>
  <c r="C143" i="4"/>
  <c r="C144" i="4"/>
  <c r="Q40" i="4"/>
  <c r="K23" i="3" l="1"/>
  <c r="C146" i="3"/>
  <c r="P36" i="4"/>
  <c r="Q36" i="4" s="1"/>
  <c r="C24" i="7"/>
  <c r="C136" i="3"/>
  <c r="H18" i="4"/>
  <c r="I18" i="4" s="1"/>
  <c r="C112" i="4" s="1"/>
  <c r="C37" i="4"/>
  <c r="G37" i="4" s="1"/>
  <c r="D37" i="4"/>
  <c r="F37" i="4" s="1"/>
  <c r="H42" i="5"/>
  <c r="K42" i="5"/>
  <c r="E49" i="3"/>
  <c r="F41" i="3"/>
  <c r="F146" i="3" s="1"/>
  <c r="I146" i="3" s="1"/>
  <c r="C141" i="4"/>
  <c r="E54" i="5"/>
  <c r="C91" i="5"/>
  <c r="K52" i="5"/>
  <c r="M91" i="5"/>
  <c r="K43" i="5"/>
  <c r="D91" i="5"/>
  <c r="G34" i="13"/>
  <c r="K53" i="5"/>
  <c r="N91" i="5"/>
  <c r="K44" i="5"/>
  <c r="E91" i="5"/>
  <c r="P23" i="4"/>
  <c r="Q23" i="4" s="1"/>
  <c r="D117" i="4" s="1"/>
  <c r="C20" i="7"/>
  <c r="P38" i="4"/>
  <c r="Q38" i="4" s="1"/>
  <c r="D114" i="4" s="1"/>
  <c r="C26" i="7"/>
  <c r="L41" i="4"/>
  <c r="N41" i="4" s="1"/>
  <c r="D29" i="7"/>
  <c r="P43" i="4"/>
  <c r="C30" i="7"/>
  <c r="P39" i="4"/>
  <c r="Q39" i="4" s="1"/>
  <c r="D115" i="4" s="1"/>
  <c r="C27" i="7"/>
  <c r="C135" i="4"/>
  <c r="P24" i="4"/>
  <c r="Q24" i="4" s="1"/>
  <c r="D118" i="4" s="1"/>
  <c r="C21" i="7"/>
  <c r="L37" i="4"/>
  <c r="N37" i="4" s="1"/>
  <c r="D25" i="7"/>
  <c r="C247" i="8"/>
  <c r="P247" i="8"/>
  <c r="F53" i="8"/>
  <c r="D161" i="8" s="1"/>
  <c r="K41" i="4"/>
  <c r="O41" i="4" s="1"/>
  <c r="K37" i="4"/>
  <c r="O37" i="4" s="1"/>
  <c r="C129" i="4"/>
  <c r="E7" i="12"/>
  <c r="F157" i="8"/>
  <c r="J11" i="12"/>
  <c r="P11" i="12"/>
  <c r="I11" i="12"/>
  <c r="M11" i="12"/>
  <c r="H11" i="12"/>
  <c r="K11" i="12"/>
  <c r="O11" i="12"/>
  <c r="Q11" i="12"/>
  <c r="F11" i="12"/>
  <c r="N11" i="12"/>
  <c r="L11" i="12"/>
  <c r="I145" i="4"/>
  <c r="M50" i="8"/>
  <c r="K50" i="8"/>
  <c r="N50" i="8"/>
  <c r="P50" i="8"/>
  <c r="H50" i="8"/>
  <c r="H53" i="8" s="1"/>
  <c r="H161" i="8" s="1"/>
  <c r="Q50" i="8"/>
  <c r="Q53" i="8" s="1"/>
  <c r="Q161" i="8" s="1"/>
  <c r="I50" i="8"/>
  <c r="I53" i="8" s="1"/>
  <c r="I161" i="8" s="1"/>
  <c r="R50" i="8"/>
  <c r="R53" i="8" s="1"/>
  <c r="R161" i="8" s="1"/>
  <c r="O50" i="8"/>
  <c r="E50" i="8"/>
  <c r="J50" i="8"/>
  <c r="L50" i="8"/>
  <c r="G50" i="8"/>
  <c r="G53" i="8" s="1"/>
  <c r="G161" i="8" s="1"/>
  <c r="L88" i="9"/>
  <c r="M88" i="9" s="1"/>
  <c r="Y82" i="2"/>
  <c r="Z82" i="2"/>
  <c r="L20" i="3" s="1"/>
  <c r="AU67" i="2"/>
  <c r="F28" i="7"/>
  <c r="G28" i="7" s="1"/>
  <c r="I150" i="3"/>
  <c r="H164" i="3"/>
  <c r="G164" i="3"/>
  <c r="C148" i="4"/>
  <c r="F48" i="3"/>
  <c r="F147" i="4"/>
  <c r="D90" i="8" s="1"/>
  <c r="F90" i="8" s="1"/>
  <c r="F151" i="3"/>
  <c r="I151" i="3" s="1"/>
  <c r="F44" i="3"/>
  <c r="F142" i="4"/>
  <c r="F147" i="3"/>
  <c r="I147" i="3" s="1"/>
  <c r="F43" i="3"/>
  <c r="C140" i="3"/>
  <c r="C134" i="4"/>
  <c r="C149" i="3"/>
  <c r="C148" i="3"/>
  <c r="C152" i="3"/>
  <c r="C141" i="3"/>
  <c r="Q41" i="4"/>
  <c r="D119" i="4" s="1"/>
  <c r="AL82" i="2"/>
  <c r="L23" i="3" s="1"/>
  <c r="AU76" i="2"/>
  <c r="AU69" i="2"/>
  <c r="AV69" i="2"/>
  <c r="AT70" i="2"/>
  <c r="AT82" i="2" s="1"/>
  <c r="L25" i="3" s="1"/>
  <c r="AS82" i="2"/>
  <c r="AV67" i="2"/>
  <c r="AO82" i="2"/>
  <c r="AV76" i="2"/>
  <c r="AV77" i="2"/>
  <c r="AD71" i="2"/>
  <c r="AV71" i="2" s="1"/>
  <c r="AU71" i="2"/>
  <c r="AU77" i="2"/>
  <c r="AP82" i="2"/>
  <c r="L24" i="3" s="1"/>
  <c r="AD68" i="2"/>
  <c r="AV68" i="2" s="1"/>
  <c r="AU68" i="2"/>
  <c r="AD78" i="2"/>
  <c r="AV78" i="2" s="1"/>
  <c r="AU78" i="2"/>
  <c r="AD72" i="2"/>
  <c r="AV72" i="2" s="1"/>
  <c r="AU72" i="2"/>
  <c r="AC82" i="2"/>
  <c r="AK82" i="2"/>
  <c r="AH82" i="2"/>
  <c r="L22" i="3" s="1"/>
  <c r="AG82" i="2"/>
  <c r="AU70" i="2"/>
  <c r="K22" i="3"/>
  <c r="C132" i="4" s="1"/>
  <c r="K21" i="3"/>
  <c r="K36" i="4" l="1"/>
  <c r="L36" i="4"/>
  <c r="N36" i="4" s="1"/>
  <c r="C149" i="4"/>
  <c r="C150" i="4"/>
  <c r="F143" i="4"/>
  <c r="C38" i="4"/>
  <c r="G38" i="4" s="1"/>
  <c r="D38" i="4"/>
  <c r="F38" i="4" s="1"/>
  <c r="F114" i="4" s="1"/>
  <c r="F141" i="4"/>
  <c r="I141" i="4" s="1"/>
  <c r="C36" i="4"/>
  <c r="G36" i="4" s="1"/>
  <c r="D36" i="4"/>
  <c r="F36" i="4" s="1"/>
  <c r="F144" i="4"/>
  <c r="D85" i="8" s="1"/>
  <c r="F85" i="8" s="1"/>
  <c r="D39" i="4"/>
  <c r="F39" i="4" s="1"/>
  <c r="F115" i="4" s="1"/>
  <c r="C39" i="4"/>
  <c r="G39" i="4" s="1"/>
  <c r="F129" i="4"/>
  <c r="D18" i="4"/>
  <c r="F18" i="4" s="1"/>
  <c r="C18" i="4"/>
  <c r="G18" i="4" s="1"/>
  <c r="D24" i="7"/>
  <c r="D83" i="8"/>
  <c r="F83" i="8" s="1"/>
  <c r="H41" i="7"/>
  <c r="H44" i="7" s="1"/>
  <c r="C94" i="5"/>
  <c r="D246" i="8"/>
  <c r="D248" i="8" s="1"/>
  <c r="F9" i="12"/>
  <c r="S41" i="7"/>
  <c r="S44" i="7" s="1"/>
  <c r="O246" i="8"/>
  <c r="O248" i="8" s="1"/>
  <c r="Q9" i="12"/>
  <c r="N94" i="5"/>
  <c r="R41" i="7"/>
  <c r="R44" i="7" s="1"/>
  <c r="P9" i="12"/>
  <c r="N246" i="8"/>
  <c r="N248" i="8" s="1"/>
  <c r="M94" i="5"/>
  <c r="J41" i="7"/>
  <c r="J44" i="7" s="1"/>
  <c r="F246" i="8"/>
  <c r="F248" i="8" s="1"/>
  <c r="H9" i="12"/>
  <c r="E94" i="5"/>
  <c r="I41" i="7"/>
  <c r="I44" i="7" s="1"/>
  <c r="D94" i="5"/>
  <c r="G9" i="12"/>
  <c r="E246" i="8"/>
  <c r="E248" i="8" s="1"/>
  <c r="E53" i="8"/>
  <c r="P22" i="4"/>
  <c r="Q22" i="4" s="1"/>
  <c r="C19" i="7"/>
  <c r="P21" i="4"/>
  <c r="Q21" i="4" s="1"/>
  <c r="C18" i="7"/>
  <c r="L43" i="4"/>
  <c r="D30" i="7"/>
  <c r="P19" i="4"/>
  <c r="Q19" i="4" s="1"/>
  <c r="D113" i="4" s="1"/>
  <c r="H19" i="4"/>
  <c r="I19" i="4" s="1"/>
  <c r="C113" i="4" s="1"/>
  <c r="C17" i="7"/>
  <c r="L38" i="4"/>
  <c r="N38" i="4" s="1"/>
  <c r="G114" i="4" s="1"/>
  <c r="D26" i="7"/>
  <c r="L39" i="4"/>
  <c r="N39" i="4" s="1"/>
  <c r="G115" i="4" s="1"/>
  <c r="D27" i="7"/>
  <c r="P18" i="4"/>
  <c r="Q18" i="4" s="1"/>
  <c r="D112" i="4" s="1"/>
  <c r="C16" i="7"/>
  <c r="L18" i="4"/>
  <c r="N18" i="4" s="1"/>
  <c r="D16" i="7"/>
  <c r="L21" i="4"/>
  <c r="D18" i="7"/>
  <c r="L23" i="4"/>
  <c r="D20" i="7"/>
  <c r="L24" i="4"/>
  <c r="D21" i="7"/>
  <c r="L22" i="4"/>
  <c r="N22" i="4" s="1"/>
  <c r="D19" i="7"/>
  <c r="K43" i="4"/>
  <c r="O43" i="4" s="1"/>
  <c r="O36" i="4"/>
  <c r="K38" i="4"/>
  <c r="O38" i="4" s="1"/>
  <c r="K39" i="4"/>
  <c r="O39" i="4" s="1"/>
  <c r="K26" i="3"/>
  <c r="K21" i="4"/>
  <c r="O21" i="4" s="1"/>
  <c r="K24" i="4"/>
  <c r="O24" i="4" s="1"/>
  <c r="K22" i="4"/>
  <c r="O22" i="4" s="1"/>
  <c r="K18" i="4"/>
  <c r="K23" i="4"/>
  <c r="O23" i="4" s="1"/>
  <c r="P28" i="7"/>
  <c r="D30" i="8"/>
  <c r="F30" i="8" s="1"/>
  <c r="O53" i="8"/>
  <c r="O161" i="8" s="1"/>
  <c r="M53" i="8"/>
  <c r="M161" i="8" s="1"/>
  <c r="L53" i="8"/>
  <c r="L161" i="8" s="1"/>
  <c r="P53" i="8"/>
  <c r="P161" i="8" s="1"/>
  <c r="J53" i="8"/>
  <c r="J161" i="8" s="1"/>
  <c r="N53" i="8"/>
  <c r="N161" i="8" s="1"/>
  <c r="K53" i="8"/>
  <c r="K161" i="8" s="1"/>
  <c r="E11" i="12"/>
  <c r="I142" i="4"/>
  <c r="I147" i="4"/>
  <c r="L88" i="8"/>
  <c r="P88" i="8"/>
  <c r="E88" i="8"/>
  <c r="J88" i="8"/>
  <c r="O88" i="8"/>
  <c r="R88" i="8"/>
  <c r="Q88" i="8"/>
  <c r="H88" i="8"/>
  <c r="K88" i="8"/>
  <c r="N88" i="8"/>
  <c r="M88" i="8"/>
  <c r="G88" i="8"/>
  <c r="I88" i="8"/>
  <c r="F49" i="3"/>
  <c r="F136" i="3"/>
  <c r="I136" i="3" s="1"/>
  <c r="D68" i="8"/>
  <c r="F68" i="8" s="1"/>
  <c r="C130" i="4"/>
  <c r="C153" i="3"/>
  <c r="F139" i="3"/>
  <c r="F133" i="4"/>
  <c r="D74" i="8" s="1"/>
  <c r="F74" i="8" s="1"/>
  <c r="C138" i="3"/>
  <c r="F138" i="3"/>
  <c r="F132" i="4"/>
  <c r="D73" i="8" s="1"/>
  <c r="F73" i="8" s="1"/>
  <c r="F141" i="3"/>
  <c r="I141" i="3" s="1"/>
  <c r="F135" i="4"/>
  <c r="D76" i="8" s="1"/>
  <c r="F76" i="8" s="1"/>
  <c r="C139" i="3"/>
  <c r="C133" i="4"/>
  <c r="F140" i="3"/>
  <c r="I140" i="3" s="1"/>
  <c r="F134" i="4"/>
  <c r="D75" i="8" s="1"/>
  <c r="F75" i="8" s="1"/>
  <c r="D84" i="8"/>
  <c r="F84" i="8" s="1"/>
  <c r="F148" i="3"/>
  <c r="I148" i="3" s="1"/>
  <c r="F149" i="3"/>
  <c r="F148" i="4"/>
  <c r="D91" i="8" s="1"/>
  <c r="F152" i="3"/>
  <c r="I152" i="3" s="1"/>
  <c r="C137" i="3"/>
  <c r="Q43" i="4"/>
  <c r="AV70" i="2"/>
  <c r="AV82" i="2" s="1"/>
  <c r="AU82" i="2"/>
  <c r="AD82" i="2"/>
  <c r="L21" i="3" s="1"/>
  <c r="D19" i="4" s="1"/>
  <c r="F19" i="4" s="1"/>
  <c r="P44" i="4"/>
  <c r="C31" i="7"/>
  <c r="H44" i="4"/>
  <c r="C137" i="4" l="1"/>
  <c r="C153" i="4" s="1"/>
  <c r="G112" i="4"/>
  <c r="I129" i="4"/>
  <c r="D82" i="8"/>
  <c r="F82" i="8" s="1"/>
  <c r="J82" i="8" s="1"/>
  <c r="F150" i="4"/>
  <c r="I150" i="4" s="1"/>
  <c r="F149" i="4"/>
  <c r="I149" i="4" s="1"/>
  <c r="F112" i="4"/>
  <c r="C136" i="4"/>
  <c r="C152" i="4" s="1"/>
  <c r="D116" i="4"/>
  <c r="I149" i="3"/>
  <c r="F27" i="7"/>
  <c r="D31" i="7"/>
  <c r="L19" i="4"/>
  <c r="N19" i="4" s="1"/>
  <c r="G113" i="4" s="1"/>
  <c r="D17" i="7"/>
  <c r="D93" i="8"/>
  <c r="F91" i="8"/>
  <c r="D32" i="8"/>
  <c r="F32" i="8" s="1"/>
  <c r="J30" i="8"/>
  <c r="D44" i="4"/>
  <c r="F44" i="4"/>
  <c r="O44" i="4"/>
  <c r="C44" i="4"/>
  <c r="K44" i="4"/>
  <c r="G44" i="4"/>
  <c r="O18" i="4"/>
  <c r="K19" i="4"/>
  <c r="O19" i="4" s="1"/>
  <c r="C19" i="4"/>
  <c r="G19" i="4" s="1"/>
  <c r="L26" i="3"/>
  <c r="N28" i="7"/>
  <c r="L28" i="7"/>
  <c r="M28" i="7"/>
  <c r="S28" i="7"/>
  <c r="H28" i="7"/>
  <c r="R28" i="7"/>
  <c r="I28" i="7"/>
  <c r="O28" i="7"/>
  <c r="J28" i="7"/>
  <c r="Q28" i="7"/>
  <c r="K28" i="7"/>
  <c r="D78" i="8"/>
  <c r="I148" i="4"/>
  <c r="E90" i="8"/>
  <c r="I90" i="8"/>
  <c r="M90" i="8"/>
  <c r="Q90" i="8"/>
  <c r="J90" i="8"/>
  <c r="N90" i="8"/>
  <c r="R90" i="8"/>
  <c r="G90" i="8"/>
  <c r="K90" i="8"/>
  <c r="O90" i="8"/>
  <c r="H90" i="8"/>
  <c r="L90" i="8"/>
  <c r="P90" i="8"/>
  <c r="I134" i="4"/>
  <c r="I135" i="4"/>
  <c r="I143" i="4"/>
  <c r="I144" i="4"/>
  <c r="I132" i="4"/>
  <c r="I133" i="4"/>
  <c r="P83" i="8"/>
  <c r="O83" i="8"/>
  <c r="M83" i="8"/>
  <c r="J83" i="8"/>
  <c r="Q83" i="8"/>
  <c r="L83" i="8"/>
  <c r="K83" i="8"/>
  <c r="E83" i="8"/>
  <c r="H83" i="8"/>
  <c r="G83" i="8"/>
  <c r="R83" i="8"/>
  <c r="I83" i="8"/>
  <c r="N83" i="8"/>
  <c r="F161" i="8"/>
  <c r="F18" i="7"/>
  <c r="G18" i="7" s="1"/>
  <c r="I138" i="3"/>
  <c r="F19" i="7"/>
  <c r="G19" i="7" s="1"/>
  <c r="I139" i="3"/>
  <c r="L44" i="4"/>
  <c r="N24" i="4"/>
  <c r="G118" i="4" s="1"/>
  <c r="Q25" i="4"/>
  <c r="N23" i="4"/>
  <c r="G117" i="4" s="1"/>
  <c r="C142" i="3"/>
  <c r="C164" i="3" s="1"/>
  <c r="F153" i="3"/>
  <c r="I153" i="3" s="1"/>
  <c r="F137" i="3"/>
  <c r="F130" i="4"/>
  <c r="F137" i="4" s="1"/>
  <c r="I137" i="4" s="1"/>
  <c r="I44" i="4"/>
  <c r="Q44" i="4"/>
  <c r="N21" i="4"/>
  <c r="G116" i="4" s="1"/>
  <c r="N43" i="4"/>
  <c r="C22" i="7"/>
  <c r="P25" i="4"/>
  <c r="I25" i="4"/>
  <c r="H25" i="4"/>
  <c r="F136" i="4" l="1"/>
  <c r="I136" i="4" s="1"/>
  <c r="D87" i="8"/>
  <c r="D94" i="8" s="1"/>
  <c r="G27" i="7"/>
  <c r="F31" i="7"/>
  <c r="D69" i="8"/>
  <c r="F69" i="8" s="1"/>
  <c r="N44" i="4"/>
  <c r="G119" i="4"/>
  <c r="F93" i="8"/>
  <c r="E93" i="8" s="1"/>
  <c r="C242" i="8"/>
  <c r="F242" i="8" s="1"/>
  <c r="F78" i="8"/>
  <c r="E78" i="8" s="1"/>
  <c r="G25" i="4"/>
  <c r="K25" i="4"/>
  <c r="O25" i="4"/>
  <c r="L25" i="4"/>
  <c r="C25" i="4"/>
  <c r="J18" i="7"/>
  <c r="F25" i="8"/>
  <c r="R19" i="7"/>
  <c r="D26" i="8"/>
  <c r="F26" i="8" s="1"/>
  <c r="K82" i="8"/>
  <c r="O91" i="8"/>
  <c r="O93" i="8" s="1"/>
  <c r="P91" i="8"/>
  <c r="P93" i="8" s="1"/>
  <c r="Q91" i="8"/>
  <c r="Q93" i="8" s="1"/>
  <c r="H91" i="8"/>
  <c r="H93" i="8" s="1"/>
  <c r="E91" i="8"/>
  <c r="N91" i="8"/>
  <c r="N93" i="8" s="1"/>
  <c r="J91" i="8"/>
  <c r="J93" i="8" s="1"/>
  <c r="I91" i="8"/>
  <c r="I93" i="8" s="1"/>
  <c r="G91" i="8"/>
  <c r="G93" i="8" s="1"/>
  <c r="M91" i="8"/>
  <c r="M93" i="8" s="1"/>
  <c r="K91" i="8"/>
  <c r="K93" i="8" s="1"/>
  <c r="L91" i="8"/>
  <c r="L93" i="8" s="1"/>
  <c r="R91" i="8"/>
  <c r="R93" i="8" s="1"/>
  <c r="M30" i="8"/>
  <c r="O30" i="8"/>
  <c r="I30" i="8"/>
  <c r="H30" i="8"/>
  <c r="R30" i="8"/>
  <c r="G30" i="8"/>
  <c r="P30" i="8"/>
  <c r="Q30" i="8"/>
  <c r="L30" i="8"/>
  <c r="E32" i="8"/>
  <c r="H32" i="8"/>
  <c r="L32" i="8"/>
  <c r="P32" i="8"/>
  <c r="I32" i="8"/>
  <c r="M32" i="8"/>
  <c r="Q32" i="8"/>
  <c r="J32" i="8"/>
  <c r="N32" i="8"/>
  <c r="R32" i="8"/>
  <c r="K32" i="8"/>
  <c r="O32" i="8"/>
  <c r="G32" i="8"/>
  <c r="N30" i="8"/>
  <c r="E30" i="8"/>
  <c r="K30" i="8"/>
  <c r="I82" i="8"/>
  <c r="P82" i="8"/>
  <c r="L82" i="8"/>
  <c r="O82" i="8"/>
  <c r="H82" i="8"/>
  <c r="N82" i="8"/>
  <c r="Q82" i="8"/>
  <c r="G82" i="8"/>
  <c r="R82" i="8"/>
  <c r="E82" i="8"/>
  <c r="M82" i="8"/>
  <c r="E84" i="8"/>
  <c r="I84" i="8"/>
  <c r="M84" i="8"/>
  <c r="Q84" i="8"/>
  <c r="J84" i="8"/>
  <c r="N84" i="8"/>
  <c r="R84" i="8"/>
  <c r="G84" i="8"/>
  <c r="K84" i="8"/>
  <c r="O84" i="8"/>
  <c r="H84" i="8"/>
  <c r="L84" i="8"/>
  <c r="P84" i="8"/>
  <c r="E73" i="8"/>
  <c r="I73" i="8"/>
  <c r="M73" i="8"/>
  <c r="Q73" i="8"/>
  <c r="J73" i="8"/>
  <c r="N73" i="8"/>
  <c r="R73" i="8"/>
  <c r="G73" i="8"/>
  <c r="K73" i="8"/>
  <c r="O73" i="8"/>
  <c r="H73" i="8"/>
  <c r="L73" i="8"/>
  <c r="P73" i="8"/>
  <c r="E76" i="8"/>
  <c r="I76" i="8"/>
  <c r="M76" i="8"/>
  <c r="Q76" i="8"/>
  <c r="J76" i="8"/>
  <c r="N76" i="8"/>
  <c r="R76" i="8"/>
  <c r="G76" i="8"/>
  <c r="K76" i="8"/>
  <c r="O76" i="8"/>
  <c r="H76" i="8"/>
  <c r="L76" i="8"/>
  <c r="P76" i="8"/>
  <c r="P68" i="8"/>
  <c r="I130" i="4"/>
  <c r="I85" i="8"/>
  <c r="H85" i="8"/>
  <c r="K85" i="8"/>
  <c r="O85" i="8"/>
  <c r="E85" i="8"/>
  <c r="R85" i="8"/>
  <c r="G85" i="8"/>
  <c r="Q85" i="8"/>
  <c r="P85" i="8"/>
  <c r="J85" i="8"/>
  <c r="N85" i="8"/>
  <c r="M85" i="8"/>
  <c r="L85" i="8"/>
  <c r="I75" i="8"/>
  <c r="O75" i="8"/>
  <c r="G75" i="8"/>
  <c r="H75" i="8"/>
  <c r="K75" i="8"/>
  <c r="R75" i="8"/>
  <c r="J75" i="8"/>
  <c r="Q75" i="8"/>
  <c r="M75" i="8"/>
  <c r="L75" i="8"/>
  <c r="E75" i="8"/>
  <c r="P75" i="8"/>
  <c r="N75" i="8"/>
  <c r="F22" i="7"/>
  <c r="F142" i="3"/>
  <c r="I137" i="3"/>
  <c r="F25" i="4"/>
  <c r="D25" i="4"/>
  <c r="N25" i="4"/>
  <c r="K46" i="5"/>
  <c r="K49" i="5"/>
  <c r="K50" i="5"/>
  <c r="D22" i="7"/>
  <c r="C45" i="7"/>
  <c r="C123" i="4"/>
  <c r="C62" i="7" s="1"/>
  <c r="D123" i="4"/>
  <c r="C63" i="7" s="1"/>
  <c r="N54" i="5"/>
  <c r="F87" i="8" l="1"/>
  <c r="E87" i="8" s="1"/>
  <c r="E94" i="8" s="1"/>
  <c r="P27" i="7"/>
  <c r="P31" i="7" s="1"/>
  <c r="M27" i="7"/>
  <c r="M31" i="7" s="1"/>
  <c r="N27" i="7"/>
  <c r="N31" i="7" s="1"/>
  <c r="H27" i="7"/>
  <c r="H31" i="7" s="1"/>
  <c r="J27" i="7"/>
  <c r="J31" i="7" s="1"/>
  <c r="Q27" i="7"/>
  <c r="Q31" i="7" s="1"/>
  <c r="R27" i="7"/>
  <c r="R31" i="7" s="1"/>
  <c r="S27" i="7"/>
  <c r="S31" i="7" s="1"/>
  <c r="I27" i="7"/>
  <c r="I31" i="7" s="1"/>
  <c r="K27" i="7"/>
  <c r="K31" i="7" s="1"/>
  <c r="O27" i="7"/>
  <c r="O31" i="7" s="1"/>
  <c r="L27" i="7"/>
  <c r="L31" i="7" s="1"/>
  <c r="G31" i="7"/>
  <c r="D72" i="8"/>
  <c r="D111" i="8" s="1"/>
  <c r="D118" i="8" s="1"/>
  <c r="G242" i="8"/>
  <c r="F91" i="5"/>
  <c r="K41" i="7" s="1"/>
  <c r="K44" i="7" s="1"/>
  <c r="K45" i="5"/>
  <c r="I91" i="5"/>
  <c r="J246" i="8" s="1"/>
  <c r="J248" i="8" s="1"/>
  <c r="K48" i="5"/>
  <c r="L91" i="5"/>
  <c r="Q41" i="7" s="1"/>
  <c r="K51" i="5"/>
  <c r="H91" i="5"/>
  <c r="M41" i="7" s="1"/>
  <c r="K47" i="5"/>
  <c r="H242" i="8"/>
  <c r="L242" i="8"/>
  <c r="D242" i="8"/>
  <c r="K242" i="8"/>
  <c r="M242" i="8"/>
  <c r="E242" i="8"/>
  <c r="O242" i="8"/>
  <c r="I242" i="8"/>
  <c r="N242" i="8"/>
  <c r="J242" i="8"/>
  <c r="I142" i="3"/>
  <c r="I164" i="3" s="1"/>
  <c r="E168" i="3"/>
  <c r="E171" i="3" s="1"/>
  <c r="M19" i="7"/>
  <c r="O18" i="7"/>
  <c r="J19" i="7"/>
  <c r="J22" i="7" s="1"/>
  <c r="H19" i="7"/>
  <c r="P19" i="7"/>
  <c r="L19" i="7"/>
  <c r="Q19" i="7"/>
  <c r="S19" i="7"/>
  <c r="N19" i="7"/>
  <c r="O19" i="7"/>
  <c r="O22" i="7" s="1"/>
  <c r="K19" i="7"/>
  <c r="I19" i="7"/>
  <c r="M18" i="7"/>
  <c r="H18" i="7"/>
  <c r="G22" i="7"/>
  <c r="L18" i="7"/>
  <c r="N18" i="7"/>
  <c r="K18" i="7"/>
  <c r="R18" i="7"/>
  <c r="R22" i="7" s="1"/>
  <c r="I18" i="7"/>
  <c r="I22" i="7" s="1"/>
  <c r="P18" i="7"/>
  <c r="Q18" i="7"/>
  <c r="S18" i="7"/>
  <c r="Q87" i="8"/>
  <c r="Q94" i="8" s="1"/>
  <c r="L87" i="8"/>
  <c r="L94" i="8" s="1"/>
  <c r="J87" i="8"/>
  <c r="J94" i="8" s="1"/>
  <c r="O87" i="8"/>
  <c r="O94" i="8" s="1"/>
  <c r="G87" i="8"/>
  <c r="G94" i="8" s="1"/>
  <c r="M87" i="8"/>
  <c r="M94" i="8" s="1"/>
  <c r="N87" i="8"/>
  <c r="N94" i="8" s="1"/>
  <c r="P87" i="8"/>
  <c r="P94" i="8" s="1"/>
  <c r="R87" i="8"/>
  <c r="R94" i="8" s="1"/>
  <c r="H87" i="8"/>
  <c r="H94" i="8" s="1"/>
  <c r="I87" i="8"/>
  <c r="I94" i="8" s="1"/>
  <c r="K87" i="8"/>
  <c r="K94" i="8" s="1"/>
  <c r="J26" i="8"/>
  <c r="D28" i="8"/>
  <c r="G68" i="8"/>
  <c r="F152" i="4"/>
  <c r="I152" i="4" s="1"/>
  <c r="C8" i="12"/>
  <c r="M8" i="12" s="1"/>
  <c r="Q18" i="12"/>
  <c r="F18" i="12"/>
  <c r="G18" i="12"/>
  <c r="H18" i="12"/>
  <c r="P18" i="12"/>
  <c r="O68" i="8"/>
  <c r="L68" i="8"/>
  <c r="N68" i="8"/>
  <c r="K68" i="8"/>
  <c r="Q68" i="8"/>
  <c r="E68" i="8"/>
  <c r="J68" i="8"/>
  <c r="I68" i="8"/>
  <c r="R68" i="8"/>
  <c r="H68" i="8"/>
  <c r="M68" i="8"/>
  <c r="F153" i="4"/>
  <c r="M74" i="8"/>
  <c r="M78" i="8" s="1"/>
  <c r="I74" i="8"/>
  <c r="I78" i="8" s="1"/>
  <c r="K74" i="8"/>
  <c r="K78" i="8" s="1"/>
  <c r="L74" i="8"/>
  <c r="L78" i="8" s="1"/>
  <c r="H74" i="8"/>
  <c r="H78" i="8" s="1"/>
  <c r="Q74" i="8"/>
  <c r="Q78" i="8" s="1"/>
  <c r="G74" i="8"/>
  <c r="G78" i="8" s="1"/>
  <c r="J74" i="8"/>
  <c r="J78" i="8" s="1"/>
  <c r="R74" i="8"/>
  <c r="R78" i="8" s="1"/>
  <c r="N74" i="8"/>
  <c r="N78" i="8" s="1"/>
  <c r="E74" i="8"/>
  <c r="P74" i="8"/>
  <c r="P78" i="8" s="1"/>
  <c r="O74" i="8"/>
  <c r="O78" i="8" s="1"/>
  <c r="G69" i="8"/>
  <c r="H69" i="8"/>
  <c r="Q69" i="8"/>
  <c r="R69" i="8"/>
  <c r="L69" i="8"/>
  <c r="P69" i="8"/>
  <c r="J69" i="8"/>
  <c r="K69" i="8"/>
  <c r="I69" i="8"/>
  <c r="E69" i="8"/>
  <c r="O69" i="8"/>
  <c r="M69" i="8"/>
  <c r="N69" i="8"/>
  <c r="F164" i="3"/>
  <c r="K25" i="8"/>
  <c r="F168" i="3"/>
  <c r="F171" i="3" s="1"/>
  <c r="O168" i="3"/>
  <c r="O171" i="3" s="1"/>
  <c r="K168" i="3"/>
  <c r="K171" i="3" s="1"/>
  <c r="G168" i="3"/>
  <c r="G171" i="3" s="1"/>
  <c r="M168" i="3"/>
  <c r="M171" i="3" s="1"/>
  <c r="D168" i="3"/>
  <c r="D171" i="3" s="1"/>
  <c r="N168" i="3"/>
  <c r="N171" i="3" s="1"/>
  <c r="I168" i="3"/>
  <c r="I171" i="3" s="1"/>
  <c r="L168" i="3"/>
  <c r="L171" i="3" s="1"/>
  <c r="J168" i="3"/>
  <c r="J171" i="3" s="1"/>
  <c r="H168" i="3"/>
  <c r="H171" i="3" s="1"/>
  <c r="G123" i="4"/>
  <c r="D63" i="7" s="1"/>
  <c r="F113" i="4"/>
  <c r="F123" i="4" s="1"/>
  <c r="D62" i="7" s="1"/>
  <c r="N62" i="7" s="1"/>
  <c r="K91" i="5"/>
  <c r="G91" i="5"/>
  <c r="J91" i="5"/>
  <c r="C52" i="7"/>
  <c r="G54" i="5"/>
  <c r="F94" i="8" l="1"/>
  <c r="I168" i="8"/>
  <c r="F72" i="8"/>
  <c r="F111" i="8" s="1"/>
  <c r="D79" i="8"/>
  <c r="D112" i="8" s="1"/>
  <c r="D119" i="8" s="1"/>
  <c r="M246" i="8"/>
  <c r="M248" i="8" s="1"/>
  <c r="I53" i="5"/>
  <c r="I46" i="5"/>
  <c r="I50" i="5"/>
  <c r="I43" i="5"/>
  <c r="I47" i="5"/>
  <c r="I51" i="5"/>
  <c r="I44" i="5"/>
  <c r="I48" i="5"/>
  <c r="I52" i="5"/>
  <c r="I45" i="5"/>
  <c r="I49" i="5"/>
  <c r="I42" i="5"/>
  <c r="F94" i="5"/>
  <c r="L94" i="5"/>
  <c r="H94" i="5"/>
  <c r="K9" i="12"/>
  <c r="O18" i="12"/>
  <c r="I246" i="8"/>
  <c r="I248" i="8" s="1"/>
  <c r="K18" i="12"/>
  <c r="G246" i="8"/>
  <c r="G248" i="8" s="1"/>
  <c r="I18" i="12"/>
  <c r="I9" i="12"/>
  <c r="I94" i="5"/>
  <c r="O9" i="12"/>
  <c r="L18" i="12"/>
  <c r="N41" i="7"/>
  <c r="N44" i="7" s="1"/>
  <c r="M168" i="8" s="1"/>
  <c r="L9" i="12"/>
  <c r="P242" i="8"/>
  <c r="G168" i="8"/>
  <c r="H246" i="8"/>
  <c r="H248" i="8" s="1"/>
  <c r="L41" i="7"/>
  <c r="L44" i="7" s="1"/>
  <c r="K168" i="8" s="1"/>
  <c r="K246" i="8"/>
  <c r="K248" i="8" s="1"/>
  <c r="O41" i="7"/>
  <c r="O44" i="7" s="1"/>
  <c r="N168" i="8" s="1"/>
  <c r="L246" i="8"/>
  <c r="L248" i="8" s="1"/>
  <c r="P41" i="7"/>
  <c r="P44" i="7" s="1"/>
  <c r="O168" i="8" s="1"/>
  <c r="P22" i="7"/>
  <c r="H31" i="9"/>
  <c r="F28" i="8"/>
  <c r="B4" i="12"/>
  <c r="K4" i="12" s="1"/>
  <c r="F118" i="8"/>
  <c r="M22" i="7"/>
  <c r="I153" i="4"/>
  <c r="Q22" i="7"/>
  <c r="H22" i="7"/>
  <c r="H45" i="7" s="1"/>
  <c r="N22" i="7"/>
  <c r="L22" i="7"/>
  <c r="K22" i="7"/>
  <c r="K45" i="7" s="1"/>
  <c r="S22" i="7"/>
  <c r="S45" i="7" s="1"/>
  <c r="J168" i="8"/>
  <c r="H168" i="8"/>
  <c r="Q168" i="8"/>
  <c r="R168" i="8"/>
  <c r="C241" i="8"/>
  <c r="D241" i="8" s="1"/>
  <c r="D42" i="8"/>
  <c r="E111" i="8"/>
  <c r="E72" i="8"/>
  <c r="E79" i="8" s="1"/>
  <c r="R72" i="8"/>
  <c r="Q72" i="8"/>
  <c r="L72" i="8"/>
  <c r="L111" i="8" s="1"/>
  <c r="I72" i="8"/>
  <c r="K72" i="8"/>
  <c r="H72" i="8"/>
  <c r="M72" i="8"/>
  <c r="J72" i="8"/>
  <c r="N72" i="8"/>
  <c r="O72" i="8"/>
  <c r="O111" i="8" s="1"/>
  <c r="G72" i="8"/>
  <c r="P72" i="8"/>
  <c r="J9" i="12"/>
  <c r="J18" i="12"/>
  <c r="M9" i="12"/>
  <c r="M17" i="12" s="1"/>
  <c r="M32" i="12" s="1"/>
  <c r="N9" i="12"/>
  <c r="M18" i="12"/>
  <c r="N18" i="12"/>
  <c r="F84" i="5"/>
  <c r="F41" i="7" s="1"/>
  <c r="M26" i="8"/>
  <c r="E26" i="8"/>
  <c r="I26" i="8"/>
  <c r="K26" i="8"/>
  <c r="Q26" i="8"/>
  <c r="L26" i="8"/>
  <c r="H26" i="8"/>
  <c r="N26" i="8"/>
  <c r="O26" i="8"/>
  <c r="G26" i="8"/>
  <c r="P26" i="8"/>
  <c r="R26" i="8"/>
  <c r="C32" i="9"/>
  <c r="I8" i="12"/>
  <c r="O8" i="12"/>
  <c r="N8" i="12"/>
  <c r="K8" i="12"/>
  <c r="P8" i="12"/>
  <c r="P17" i="12" s="1"/>
  <c r="J8" i="12"/>
  <c r="L8" i="12"/>
  <c r="G8" i="12"/>
  <c r="G17" i="12" s="1"/>
  <c r="Q8" i="12"/>
  <c r="Q17" i="12" s="1"/>
  <c r="H8" i="12"/>
  <c r="H17" i="12" s="1"/>
  <c r="H55" i="12" s="1"/>
  <c r="F8" i="12"/>
  <c r="F17" i="12" s="1"/>
  <c r="G63" i="7"/>
  <c r="M25" i="8"/>
  <c r="E25" i="8"/>
  <c r="I25" i="8"/>
  <c r="R25" i="8"/>
  <c r="P25" i="8"/>
  <c r="G25" i="8"/>
  <c r="J25" i="8"/>
  <c r="Q25" i="8"/>
  <c r="N25" i="8"/>
  <c r="L25" i="8"/>
  <c r="L86" i="9"/>
  <c r="M86" i="9" s="1"/>
  <c r="H25" i="8"/>
  <c r="O25" i="8"/>
  <c r="C168" i="3"/>
  <c r="C171" i="3" s="1"/>
  <c r="G62" i="7"/>
  <c r="M62" i="7"/>
  <c r="L62" i="7"/>
  <c r="J62" i="7"/>
  <c r="E62" i="7"/>
  <c r="P62" i="7"/>
  <c r="F62" i="7"/>
  <c r="I62" i="7"/>
  <c r="O62" i="7"/>
  <c r="C69" i="7"/>
  <c r="H62" i="7"/>
  <c r="K62" i="7"/>
  <c r="G94" i="5"/>
  <c r="O91" i="5"/>
  <c r="K94" i="5"/>
  <c r="J94" i="5"/>
  <c r="K54" i="5"/>
  <c r="D41" i="7" s="1"/>
  <c r="Q44" i="7"/>
  <c r="P168" i="8" s="1"/>
  <c r="M44" i="7"/>
  <c r="L168" i="8" s="1"/>
  <c r="J45" i="7"/>
  <c r="R45" i="7"/>
  <c r="I45" i="7"/>
  <c r="F63" i="7"/>
  <c r="P63" i="7"/>
  <c r="C71" i="7"/>
  <c r="L63" i="7"/>
  <c r="K63" i="7"/>
  <c r="E63" i="7"/>
  <c r="J63" i="7"/>
  <c r="M63" i="7"/>
  <c r="N63" i="7"/>
  <c r="O63" i="7"/>
  <c r="I63" i="7"/>
  <c r="H63" i="7"/>
  <c r="F79" i="8" l="1"/>
  <c r="F110" i="8" s="1"/>
  <c r="D110" i="8"/>
  <c r="M118" i="8"/>
  <c r="M154" i="8" s="1"/>
  <c r="B28" i="10"/>
  <c r="I54" i="5"/>
  <c r="C33" i="9"/>
  <c r="D122" i="8"/>
  <c r="B6" i="12"/>
  <c r="F119" i="8"/>
  <c r="K17" i="12"/>
  <c r="K32" i="12" s="1"/>
  <c r="K47" i="12" s="1"/>
  <c r="I17" i="12"/>
  <c r="I55" i="12" s="1"/>
  <c r="O17" i="12"/>
  <c r="O32" i="12" s="1"/>
  <c r="O47" i="12" s="1"/>
  <c r="P248" i="8"/>
  <c r="L17" i="12"/>
  <c r="L32" i="12" s="1"/>
  <c r="L47" i="12" s="1"/>
  <c r="I4" i="12"/>
  <c r="P246" i="8"/>
  <c r="D46" i="8"/>
  <c r="C9" i="12" s="1"/>
  <c r="G41" i="7"/>
  <c r="L4" i="12"/>
  <c r="F4" i="12"/>
  <c r="N4" i="12"/>
  <c r="H4" i="12"/>
  <c r="J4" i="12"/>
  <c r="M4" i="12"/>
  <c r="G4" i="12"/>
  <c r="O4" i="12"/>
  <c r="P4" i="12"/>
  <c r="Q4" i="12"/>
  <c r="Q32" i="12"/>
  <c r="Q55" i="12"/>
  <c r="P32" i="12"/>
  <c r="P47" i="12" s="1"/>
  <c r="P55" i="12"/>
  <c r="F32" i="12"/>
  <c r="F47" i="12" s="1"/>
  <c r="F55" i="12"/>
  <c r="G32" i="12"/>
  <c r="G55" i="12"/>
  <c r="M55" i="12"/>
  <c r="M63" i="12" s="1"/>
  <c r="K55" i="12"/>
  <c r="F87" i="5"/>
  <c r="I241" i="8"/>
  <c r="I245" i="8" s="1"/>
  <c r="I249" i="8" s="1"/>
  <c r="J241" i="8"/>
  <c r="J245" i="8" s="1"/>
  <c r="J249" i="8" s="1"/>
  <c r="L241" i="8"/>
  <c r="L245" i="8" s="1"/>
  <c r="L249" i="8" s="1"/>
  <c r="N241" i="8"/>
  <c r="N245" i="8" s="1"/>
  <c r="N249" i="8" s="1"/>
  <c r="K241" i="8"/>
  <c r="K245" i="8" s="1"/>
  <c r="H241" i="8"/>
  <c r="H245" i="8" s="1"/>
  <c r="H249" i="8" s="1"/>
  <c r="G241" i="8"/>
  <c r="G245" i="8" s="1"/>
  <c r="O241" i="8"/>
  <c r="O245" i="8" s="1"/>
  <c r="O249" i="8" s="1"/>
  <c r="E241" i="8"/>
  <c r="E245" i="8" s="1"/>
  <c r="E249" i="8" s="1"/>
  <c r="F241" i="8"/>
  <c r="F245" i="8" s="1"/>
  <c r="M241" i="8"/>
  <c r="M245" i="8" s="1"/>
  <c r="F42" i="8"/>
  <c r="D158" i="8"/>
  <c r="D245" i="8"/>
  <c r="C245" i="8"/>
  <c r="J79" i="8"/>
  <c r="J112" i="8" s="1"/>
  <c r="J111" i="8"/>
  <c r="I79" i="8"/>
  <c r="I111" i="8"/>
  <c r="G79" i="8"/>
  <c r="G111" i="8"/>
  <c r="M79" i="8"/>
  <c r="M112" i="8" s="1"/>
  <c r="M111" i="8"/>
  <c r="N79" i="8"/>
  <c r="N112" i="8" s="1"/>
  <c r="N111" i="8"/>
  <c r="K79" i="8"/>
  <c r="K112" i="8" s="1"/>
  <c r="K111" i="8"/>
  <c r="R79" i="8"/>
  <c r="R111" i="8"/>
  <c r="P79" i="8"/>
  <c r="P112" i="8" s="1"/>
  <c r="P111" i="8"/>
  <c r="H79" i="8"/>
  <c r="H112" i="8" s="1"/>
  <c r="H111" i="8"/>
  <c r="Q79" i="8"/>
  <c r="Q112" i="8" s="1"/>
  <c r="Q111" i="8"/>
  <c r="L79" i="8"/>
  <c r="L112" i="8" s="1"/>
  <c r="O79" i="8"/>
  <c r="O112" i="8" s="1"/>
  <c r="N17" i="12"/>
  <c r="E9" i="12"/>
  <c r="E18" i="12"/>
  <c r="J17" i="12"/>
  <c r="J28" i="8"/>
  <c r="H28" i="8"/>
  <c r="M28" i="8"/>
  <c r="K28" i="8"/>
  <c r="Q28" i="8"/>
  <c r="O28" i="8"/>
  <c r="P28" i="8"/>
  <c r="N28" i="8"/>
  <c r="L28" i="8"/>
  <c r="E28" i="8"/>
  <c r="I28" i="8"/>
  <c r="G28" i="8"/>
  <c r="G158" i="8" s="1"/>
  <c r="R28" i="8"/>
  <c r="E118" i="8"/>
  <c r="G118" i="8"/>
  <c r="G154" i="8" s="1"/>
  <c r="I118" i="8"/>
  <c r="I154" i="8" s="1"/>
  <c r="O118" i="8"/>
  <c r="J118" i="8"/>
  <c r="J154" i="8" s="1"/>
  <c r="L118" i="8"/>
  <c r="L154" i="8" s="1"/>
  <c r="Q118" i="8"/>
  <c r="Q154" i="8" s="1"/>
  <c r="C154" i="8"/>
  <c r="K118" i="8"/>
  <c r="K154" i="8" s="1"/>
  <c r="N118" i="8"/>
  <c r="N154" i="8" s="1"/>
  <c r="R118" i="8"/>
  <c r="R154" i="8" s="1"/>
  <c r="C88" i="9"/>
  <c r="D88" i="9" s="1"/>
  <c r="H118" i="8"/>
  <c r="H154" i="8" s="1"/>
  <c r="P118" i="8"/>
  <c r="P154" i="8" s="1"/>
  <c r="H32" i="12"/>
  <c r="H63" i="12" s="1"/>
  <c r="M47" i="12"/>
  <c r="E110" i="8"/>
  <c r="E112" i="8"/>
  <c r="F44" i="7"/>
  <c r="I84" i="5"/>
  <c r="I87" i="5" s="1"/>
  <c r="O94" i="5"/>
  <c r="F168" i="8"/>
  <c r="L45" i="7"/>
  <c r="M45" i="7"/>
  <c r="P45" i="7"/>
  <c r="N45" i="7"/>
  <c r="Q45" i="7"/>
  <c r="O45" i="7"/>
  <c r="D44" i="7"/>
  <c r="L79" i="9"/>
  <c r="F112" i="8" l="1"/>
  <c r="D45" i="7"/>
  <c r="C48" i="7" s="1"/>
  <c r="P119" i="8"/>
  <c r="P156" i="8" s="1"/>
  <c r="I32" i="12"/>
  <c r="I47" i="12" s="1"/>
  <c r="K119" i="8"/>
  <c r="K122" i="8" s="1"/>
  <c r="F122" i="8"/>
  <c r="I119" i="8"/>
  <c r="I156" i="8" s="1"/>
  <c r="N119" i="8"/>
  <c r="N156" i="8" s="1"/>
  <c r="C156" i="8"/>
  <c r="H119" i="8"/>
  <c r="H156" i="8" s="1"/>
  <c r="L119" i="8"/>
  <c r="L156" i="8" s="1"/>
  <c r="J119" i="8"/>
  <c r="J122" i="8" s="1"/>
  <c r="G119" i="8"/>
  <c r="G156" i="8" s="1"/>
  <c r="R119" i="8"/>
  <c r="R156" i="8" s="1"/>
  <c r="M119" i="8"/>
  <c r="M156" i="8" s="1"/>
  <c r="O119" i="8"/>
  <c r="O156" i="8" s="1"/>
  <c r="I6" i="12"/>
  <c r="N6" i="12"/>
  <c r="P6" i="12"/>
  <c r="K6" i="12"/>
  <c r="O6" i="12"/>
  <c r="J6" i="12"/>
  <c r="L6" i="12"/>
  <c r="H6" i="12"/>
  <c r="Q6" i="12"/>
  <c r="M6" i="12"/>
  <c r="F6" i="12"/>
  <c r="G6" i="12"/>
  <c r="C90" i="9"/>
  <c r="D90" i="9" s="1"/>
  <c r="E119" i="8"/>
  <c r="E122" i="8" s="1"/>
  <c r="Q119" i="8"/>
  <c r="Q122" i="8" s="1"/>
  <c r="K63" i="12"/>
  <c r="O55" i="12"/>
  <c r="O63" i="12"/>
  <c r="L55" i="12"/>
  <c r="L63" i="12" s="1"/>
  <c r="D48" i="8"/>
  <c r="D54" i="8" s="1"/>
  <c r="D56" i="8" s="1"/>
  <c r="O46" i="8"/>
  <c r="I46" i="8"/>
  <c r="M46" i="8"/>
  <c r="Q46" i="8"/>
  <c r="J46" i="8"/>
  <c r="N46" i="8"/>
  <c r="R46" i="8"/>
  <c r="F46" i="8"/>
  <c r="K46" i="8"/>
  <c r="G46" i="8"/>
  <c r="H46" i="8"/>
  <c r="L46" i="8"/>
  <c r="P46" i="8"/>
  <c r="E4" i="12"/>
  <c r="G63" i="12"/>
  <c r="Q63" i="12"/>
  <c r="Q47" i="12"/>
  <c r="F63" i="12"/>
  <c r="P63" i="12"/>
  <c r="G47" i="12"/>
  <c r="N32" i="12"/>
  <c r="N47" i="12" s="1"/>
  <c r="N55" i="12"/>
  <c r="J32" i="12"/>
  <c r="J47" i="12" s="1"/>
  <c r="J55" i="12"/>
  <c r="M249" i="8"/>
  <c r="F249" i="8"/>
  <c r="G249" i="8"/>
  <c r="P241" i="8"/>
  <c r="Q110" i="8"/>
  <c r="K249" i="8"/>
  <c r="D249" i="8"/>
  <c r="J110" i="8"/>
  <c r="N110" i="8"/>
  <c r="H42" i="8"/>
  <c r="H158" i="8"/>
  <c r="R42" i="8"/>
  <c r="R158" i="8"/>
  <c r="L42" i="8"/>
  <c r="L158" i="8"/>
  <c r="Q42" i="8"/>
  <c r="Q158" i="8"/>
  <c r="J42" i="8"/>
  <c r="J158" i="8"/>
  <c r="P245" i="8"/>
  <c r="G42" i="8"/>
  <c r="N42" i="8"/>
  <c r="N158" i="8"/>
  <c r="K42" i="8"/>
  <c r="K158" i="8"/>
  <c r="O42" i="8"/>
  <c r="O158" i="8"/>
  <c r="I42" i="8"/>
  <c r="I158" i="8"/>
  <c r="P42" i="8"/>
  <c r="P158" i="8"/>
  <c r="M42" i="8"/>
  <c r="M158" i="8"/>
  <c r="P110" i="8"/>
  <c r="I112" i="8"/>
  <c r="I110" i="8"/>
  <c r="H110" i="8"/>
  <c r="K110" i="8"/>
  <c r="M110" i="8"/>
  <c r="R110" i="8"/>
  <c r="R112" i="8"/>
  <c r="G110" i="8"/>
  <c r="G112" i="8"/>
  <c r="L110" i="8"/>
  <c r="O110" i="8"/>
  <c r="E17" i="12"/>
  <c r="E42" i="8"/>
  <c r="O154" i="8"/>
  <c r="F154" i="8" s="1"/>
  <c r="F45" i="7"/>
  <c r="C18" i="12"/>
  <c r="H47" i="12"/>
  <c r="E8" i="12"/>
  <c r="C54" i="7"/>
  <c r="H27" i="13" l="1"/>
  <c r="H23" i="13"/>
  <c r="H28" i="13"/>
  <c r="H24" i="13"/>
  <c r="H33" i="13"/>
  <c r="H29" i="13"/>
  <c r="H25" i="13"/>
  <c r="I25" i="13" s="1"/>
  <c r="H26" i="13"/>
  <c r="I26" i="13" s="1"/>
  <c r="H30" i="13"/>
  <c r="H22" i="13"/>
  <c r="I22" i="13" s="1"/>
  <c r="H32" i="13"/>
  <c r="H31" i="13"/>
  <c r="P122" i="8"/>
  <c r="C44" i="9"/>
  <c r="F172" i="8"/>
  <c r="D56" i="7"/>
  <c r="D52" i="7"/>
  <c r="D13" i="9"/>
  <c r="B24" i="10" s="1"/>
  <c r="D55" i="7"/>
  <c r="D53" i="7"/>
  <c r="I23" i="13"/>
  <c r="I31" i="13"/>
  <c r="I24" i="13"/>
  <c r="I32" i="13"/>
  <c r="I33" i="13"/>
  <c r="I27" i="13"/>
  <c r="I28" i="13"/>
  <c r="I29" i="13"/>
  <c r="I30" i="13"/>
  <c r="I63" i="12"/>
  <c r="C47" i="9"/>
  <c r="D14" i="9"/>
  <c r="D54" i="7"/>
  <c r="K156" i="8"/>
  <c r="J156" i="8"/>
  <c r="N122" i="8"/>
  <c r="O122" i="8"/>
  <c r="H122" i="8"/>
  <c r="Q156" i="8"/>
  <c r="R122" i="8"/>
  <c r="I122" i="8"/>
  <c r="L122" i="8"/>
  <c r="M122" i="8"/>
  <c r="G122" i="8"/>
  <c r="E6" i="12"/>
  <c r="F48" i="8"/>
  <c r="C246" i="8"/>
  <c r="H32" i="9"/>
  <c r="E32" i="12"/>
  <c r="E55" i="12"/>
  <c r="J63" i="12"/>
  <c r="N63" i="12"/>
  <c r="L48" i="8"/>
  <c r="L54" i="8" s="1"/>
  <c r="J48" i="8"/>
  <c r="J159" i="8" s="1"/>
  <c r="J167" i="8" s="1"/>
  <c r="G48" i="8"/>
  <c r="I48" i="8"/>
  <c r="K48" i="8"/>
  <c r="K159" i="8" s="1"/>
  <c r="K167" i="8" s="1"/>
  <c r="N48" i="8"/>
  <c r="N159" i="8" s="1"/>
  <c r="N167" i="8" s="1"/>
  <c r="H48" i="8"/>
  <c r="Q48" i="8"/>
  <c r="O48" i="8"/>
  <c r="O159" i="8" s="1"/>
  <c r="O167" i="8" s="1"/>
  <c r="P48" i="8"/>
  <c r="P159" i="8" s="1"/>
  <c r="P167" i="8" s="1"/>
  <c r="R48" i="8"/>
  <c r="M48" i="8"/>
  <c r="M159" i="8" s="1"/>
  <c r="M167" i="8" s="1"/>
  <c r="P249" i="8"/>
  <c r="F158" i="8"/>
  <c r="E47" i="12"/>
  <c r="L87" i="9"/>
  <c r="L91" i="9" s="1"/>
  <c r="G44" i="7"/>
  <c r="G45" i="7" s="1"/>
  <c r="C50" i="7" s="1"/>
  <c r="D50" i="7" s="1"/>
  <c r="M22" i="13" l="1"/>
  <c r="K22" i="13"/>
  <c r="O22" i="13" s="1"/>
  <c r="M26" i="13"/>
  <c r="P26" i="13"/>
  <c r="L26" i="13" s="1"/>
  <c r="J26" i="13" s="1"/>
  <c r="C38" i="13" s="1"/>
  <c r="K26" i="13"/>
  <c r="O26" i="13" s="1"/>
  <c r="P22" i="13"/>
  <c r="L22" i="13" s="1"/>
  <c r="M33" i="13"/>
  <c r="K33" i="13"/>
  <c r="O33" i="13" s="1"/>
  <c r="P33" i="13"/>
  <c r="L33" i="13" s="1"/>
  <c r="J33" i="13" s="1"/>
  <c r="M29" i="13"/>
  <c r="K29" i="13"/>
  <c r="O29" i="13" s="1"/>
  <c r="P29" i="13"/>
  <c r="L29" i="13" s="1"/>
  <c r="J29" i="13" s="1"/>
  <c r="N29" i="13" s="1"/>
  <c r="M24" i="13"/>
  <c r="K24" i="13"/>
  <c r="O24" i="13" s="1"/>
  <c r="P24" i="13"/>
  <c r="L24" i="13" s="1"/>
  <c r="J24" i="13" s="1"/>
  <c r="N24" i="13" s="1"/>
  <c r="M25" i="13"/>
  <c r="K25" i="13"/>
  <c r="O25" i="13" s="1"/>
  <c r="P25" i="13"/>
  <c r="L25" i="13" s="1"/>
  <c r="J25" i="13" s="1"/>
  <c r="N25" i="13" s="1"/>
  <c r="M30" i="13"/>
  <c r="K30" i="13"/>
  <c r="O30" i="13" s="1"/>
  <c r="P30" i="13"/>
  <c r="L30" i="13" s="1"/>
  <c r="J30" i="13" s="1"/>
  <c r="N30" i="13" s="1"/>
  <c r="M32" i="13"/>
  <c r="P32" i="13"/>
  <c r="L32" i="13" s="1"/>
  <c r="J32" i="13" s="1"/>
  <c r="K32" i="13"/>
  <c r="O32" i="13" s="1"/>
  <c r="M28" i="13"/>
  <c r="K28" i="13"/>
  <c r="O28" i="13" s="1"/>
  <c r="P28" i="13"/>
  <c r="L28" i="13" s="1"/>
  <c r="J28" i="13" s="1"/>
  <c r="N28" i="13" s="1"/>
  <c r="M31" i="13"/>
  <c r="P31" i="13"/>
  <c r="L31" i="13" s="1"/>
  <c r="J31" i="13" s="1"/>
  <c r="K31" i="13"/>
  <c r="O31" i="13" s="1"/>
  <c r="M27" i="13"/>
  <c r="P27" i="13"/>
  <c r="L27" i="13" s="1"/>
  <c r="J27" i="13" s="1"/>
  <c r="K27" i="13"/>
  <c r="O27" i="13" s="1"/>
  <c r="M23" i="13"/>
  <c r="P23" i="13"/>
  <c r="L23" i="13" s="1"/>
  <c r="J23" i="13" s="1"/>
  <c r="N23" i="13" s="1"/>
  <c r="K23" i="13"/>
  <c r="O23" i="13" s="1"/>
  <c r="H33" i="9"/>
  <c r="H36" i="9" s="1"/>
  <c r="F156" i="8"/>
  <c r="C249" i="8"/>
  <c r="C248" i="8"/>
  <c r="C17" i="12"/>
  <c r="E63" i="12"/>
  <c r="L159" i="8"/>
  <c r="L167" i="8" s="1"/>
  <c r="K54" i="8"/>
  <c r="N54" i="8"/>
  <c r="J54" i="8"/>
  <c r="M54" i="8"/>
  <c r="O54" i="8"/>
  <c r="Q54" i="8"/>
  <c r="Q159" i="8"/>
  <c r="Q167" i="8" s="1"/>
  <c r="I54" i="8"/>
  <c r="I159" i="8"/>
  <c r="I167" i="8" s="1"/>
  <c r="P54" i="8"/>
  <c r="R159" i="8"/>
  <c r="R167" i="8" s="1"/>
  <c r="R54" i="8"/>
  <c r="H54" i="8"/>
  <c r="H159" i="8"/>
  <c r="H167" i="8" s="1"/>
  <c r="G54" i="8"/>
  <c r="G159" i="8"/>
  <c r="G167" i="8" s="1"/>
  <c r="L56" i="8"/>
  <c r="M87" i="9"/>
  <c r="N32" i="13" l="1"/>
  <c r="I38" i="13"/>
  <c r="N31" i="13"/>
  <c r="H38" i="13"/>
  <c r="N27" i="13"/>
  <c r="D38" i="13"/>
  <c r="N33" i="13"/>
  <c r="J38" i="13"/>
  <c r="J22" i="13"/>
  <c r="N22" i="13" s="1"/>
  <c r="E29" i="6"/>
  <c r="N26" i="13"/>
  <c r="N56" i="8"/>
  <c r="K56" i="8"/>
  <c r="J56" i="8"/>
  <c r="M56" i="8"/>
  <c r="O56" i="8"/>
  <c r="F167" i="8"/>
  <c r="E13" i="9" s="1"/>
  <c r="F159" i="8"/>
  <c r="C50" i="9" s="1"/>
  <c r="G38" i="9" s="1"/>
  <c r="R56" i="8"/>
  <c r="P56" i="8"/>
  <c r="G56" i="8"/>
  <c r="D159" i="8"/>
  <c r="F54" i="8"/>
  <c r="F56" i="8" s="1"/>
  <c r="E48" i="8"/>
  <c r="E54" i="8" s="1"/>
  <c r="E56" i="8" s="1"/>
  <c r="I56" i="8"/>
  <c r="H56" i="8"/>
  <c r="Q56" i="8"/>
  <c r="P54" i="12" l="1"/>
  <c r="P56" i="12" s="1"/>
  <c r="N54" i="12"/>
  <c r="N56" i="12" s="1"/>
  <c r="O54" i="12"/>
  <c r="O56" i="12" s="1"/>
  <c r="M54" i="12" l="1"/>
  <c r="M56" i="12" s="1"/>
  <c r="L54" i="12"/>
  <c r="L56" i="12" s="1"/>
  <c r="F54" i="12"/>
  <c r="I54" i="12"/>
  <c r="I56" i="12" s="1"/>
  <c r="H54" i="12"/>
  <c r="H56" i="12" s="1"/>
  <c r="K54" i="12"/>
  <c r="K56" i="12" s="1"/>
  <c r="G54" i="12"/>
  <c r="G56" i="12" s="1"/>
  <c r="F56" i="12" l="1"/>
  <c r="E54" i="12" l="1"/>
  <c r="E57" i="12" s="1"/>
  <c r="C71" i="12" s="1"/>
  <c r="E56" i="12"/>
  <c r="E71" i="12" s="1"/>
  <c r="E70" i="12"/>
  <c r="C70" i="12"/>
  <c r="J54" i="12" l="1"/>
  <c r="J56" i="12" s="1"/>
  <c r="Q54" i="12" l="1"/>
  <c r="Q56" i="12" s="1"/>
  <c r="C87" i="9" l="1"/>
  <c r="D87" i="9" s="1"/>
  <c r="H34" i="13" l="1"/>
  <c r="I34" i="13" l="1"/>
  <c r="M34" i="13" l="1"/>
  <c r="E37" i="6" l="1"/>
  <c r="K34" i="13"/>
  <c r="O34" i="13" l="1"/>
  <c r="P34" i="13"/>
  <c r="K38" i="13"/>
  <c r="H37" i="6"/>
  <c r="M65" i="7" s="1"/>
  <c r="M66" i="7" s="1"/>
  <c r="F37" i="6"/>
  <c r="N5" i="12" l="1"/>
  <c r="N16" i="12" s="1"/>
  <c r="N31" i="12" s="1"/>
  <c r="K41" i="13"/>
  <c r="N62" i="12" l="1"/>
  <c r="N64" i="12" s="1"/>
  <c r="N33" i="12"/>
  <c r="N46" i="12"/>
  <c r="N48" i="12" s="1"/>
  <c r="N21" i="12"/>
  <c r="N20" i="12"/>
  <c r="N19" i="12"/>
  <c r="L34" i="13" l="1"/>
  <c r="E32" i="6"/>
  <c r="F38" i="13"/>
  <c r="E34" i="6"/>
  <c r="E40" i="6"/>
  <c r="N38" i="13"/>
  <c r="E38" i="6"/>
  <c r="L38" i="13"/>
  <c r="E33" i="6"/>
  <c r="G38" i="13"/>
  <c r="E30" i="6"/>
  <c r="J34" i="13" l="1"/>
  <c r="N34" i="13" s="1"/>
  <c r="H29" i="6"/>
  <c r="F5" i="12"/>
  <c r="C41" i="13"/>
  <c r="I5" i="12"/>
  <c r="I16" i="12" s="1"/>
  <c r="F41" i="13"/>
  <c r="E36" i="6"/>
  <c r="E35" i="6"/>
  <c r="Q5" i="12"/>
  <c r="Q16" i="12" s="1"/>
  <c r="N41" i="13"/>
  <c r="F32" i="6"/>
  <c r="H32" i="6"/>
  <c r="H65" i="7" s="1"/>
  <c r="H66" i="7" s="1"/>
  <c r="L41" i="13"/>
  <c r="O5" i="12"/>
  <c r="O16" i="12" s="1"/>
  <c r="H34" i="6"/>
  <c r="J65" i="7" s="1"/>
  <c r="J66" i="7" s="1"/>
  <c r="F34" i="6"/>
  <c r="F38" i="6"/>
  <c r="H38" i="6"/>
  <c r="N65" i="7" s="1"/>
  <c r="N66" i="7" s="1"/>
  <c r="G5" i="12"/>
  <c r="G16" i="12" s="1"/>
  <c r="D41" i="13"/>
  <c r="F30" i="6"/>
  <c r="H30" i="6"/>
  <c r="F65" i="7" s="1"/>
  <c r="F66" i="7" s="1"/>
  <c r="J5" i="12"/>
  <c r="J16" i="12" s="1"/>
  <c r="G41" i="13"/>
  <c r="H40" i="6"/>
  <c r="P65" i="7" s="1"/>
  <c r="P66" i="7" s="1"/>
  <c r="F40" i="6"/>
  <c r="E31" i="6"/>
  <c r="E38" i="13"/>
  <c r="F33" i="6"/>
  <c r="H33" i="6"/>
  <c r="I65" i="7" s="1"/>
  <c r="I66" i="7" s="1"/>
  <c r="K5" i="12"/>
  <c r="K16" i="12" s="1"/>
  <c r="H41" i="13"/>
  <c r="E39" i="6"/>
  <c r="M38" i="13"/>
  <c r="F29" i="6" l="1"/>
  <c r="B38" i="13"/>
  <c r="C131" i="8" s="1"/>
  <c r="J31" i="12"/>
  <c r="J19" i="12"/>
  <c r="J20" i="12"/>
  <c r="J21" i="12"/>
  <c r="H31" i="6"/>
  <c r="G65" i="7" s="1"/>
  <c r="G66" i="7" s="1"/>
  <c r="F31" i="6"/>
  <c r="K31" i="12"/>
  <c r="K19" i="12"/>
  <c r="K21" i="12"/>
  <c r="K20" i="12"/>
  <c r="I41" i="13"/>
  <c r="L5" i="12"/>
  <c r="L16" i="12" s="1"/>
  <c r="O31" i="12"/>
  <c r="O20" i="12"/>
  <c r="O19" i="12"/>
  <c r="O21" i="12"/>
  <c r="H35" i="6"/>
  <c r="K65" i="7" s="1"/>
  <c r="K66" i="7" s="1"/>
  <c r="F35" i="6"/>
  <c r="E65" i="7"/>
  <c r="E66" i="7" s="1"/>
  <c r="I31" i="12"/>
  <c r="I21" i="12"/>
  <c r="I19" i="12"/>
  <c r="I20" i="12"/>
  <c r="E41" i="6"/>
  <c r="M41" i="13"/>
  <c r="P5" i="12"/>
  <c r="P16" i="12" s="1"/>
  <c r="E41" i="13"/>
  <c r="H5" i="12"/>
  <c r="H16" i="12" s="1"/>
  <c r="J41" i="13"/>
  <c r="M5" i="12"/>
  <c r="M16" i="12" s="1"/>
  <c r="G31" i="12"/>
  <c r="G21" i="12"/>
  <c r="G19" i="12"/>
  <c r="G20" i="12"/>
  <c r="F36" i="6"/>
  <c r="H36" i="6"/>
  <c r="L65" i="7" s="1"/>
  <c r="L66" i="7" s="1"/>
  <c r="Q31" i="12"/>
  <c r="Q20" i="12"/>
  <c r="Q19" i="12"/>
  <c r="Q21" i="12"/>
  <c r="F39" i="6"/>
  <c r="H39" i="6"/>
  <c r="O65" i="7" s="1"/>
  <c r="O66" i="7" s="1"/>
  <c r="F16" i="12"/>
  <c r="B41" i="13" l="1"/>
  <c r="G46" i="12"/>
  <c r="G48" i="12" s="1"/>
  <c r="G33" i="12"/>
  <c r="G62" i="12"/>
  <c r="G64" i="12" s="1"/>
  <c r="K33" i="12"/>
  <c r="K46" i="12"/>
  <c r="K48" i="12" s="1"/>
  <c r="K62" i="12"/>
  <c r="K64" i="12" s="1"/>
  <c r="E5" i="12"/>
  <c r="I46" i="12"/>
  <c r="I48" i="12" s="1"/>
  <c r="I33" i="12"/>
  <c r="I62" i="12"/>
  <c r="I64" i="12" s="1"/>
  <c r="H41" i="6"/>
  <c r="C45" i="6" s="1"/>
  <c r="D65" i="7" s="1"/>
  <c r="P31" i="12"/>
  <c r="P20" i="12"/>
  <c r="P21" i="12"/>
  <c r="P19" i="12"/>
  <c r="H31" i="12"/>
  <c r="H20" i="12"/>
  <c r="H19" i="12"/>
  <c r="H21" i="12"/>
  <c r="O33" i="12"/>
  <c r="O62" i="12"/>
  <c r="O64" i="12" s="1"/>
  <c r="O46" i="12"/>
  <c r="O48" i="12" s="1"/>
  <c r="F31" i="12"/>
  <c r="F21" i="12"/>
  <c r="F19" i="12"/>
  <c r="F20" i="12"/>
  <c r="E16" i="12"/>
  <c r="L31" i="12"/>
  <c r="L21" i="12"/>
  <c r="L19" i="12"/>
  <c r="L20" i="12"/>
  <c r="J62" i="12"/>
  <c r="J64" i="12" s="1"/>
  <c r="J33" i="12"/>
  <c r="J46" i="12"/>
  <c r="J48" i="12" s="1"/>
  <c r="M31" i="12"/>
  <c r="M19" i="12"/>
  <c r="M20" i="12"/>
  <c r="M21" i="12"/>
  <c r="Q33" i="12"/>
  <c r="Q62" i="12"/>
  <c r="Q64" i="12" s="1"/>
  <c r="Q46" i="12"/>
  <c r="Q48" i="12" s="1"/>
  <c r="D133" i="8"/>
  <c r="D135" i="8" s="1"/>
  <c r="L131" i="8"/>
  <c r="L133" i="8" s="1"/>
  <c r="I131" i="8"/>
  <c r="I133" i="8" s="1"/>
  <c r="F131" i="8"/>
  <c r="M131" i="8"/>
  <c r="M133" i="8" s="1"/>
  <c r="N131" i="8"/>
  <c r="N133" i="8" s="1"/>
  <c r="Q131" i="8"/>
  <c r="Q133" i="8" s="1"/>
  <c r="H131" i="8"/>
  <c r="H133" i="8" s="1"/>
  <c r="P131" i="8"/>
  <c r="P133" i="8" s="1"/>
  <c r="J131" i="8"/>
  <c r="J133" i="8" s="1"/>
  <c r="K131" i="8"/>
  <c r="K133" i="8" s="1"/>
  <c r="G131" i="8"/>
  <c r="G133" i="8" s="1"/>
  <c r="R131" i="8"/>
  <c r="R133" i="8" s="1"/>
  <c r="O131" i="8"/>
  <c r="O133" i="8" s="1"/>
  <c r="B5" i="12" l="1"/>
  <c r="E19" i="12"/>
  <c r="E21" i="12"/>
  <c r="F46" i="12"/>
  <c r="F62" i="12"/>
  <c r="F33" i="12"/>
  <c r="E31" i="12"/>
  <c r="E34" i="12" s="1"/>
  <c r="C69" i="12" s="1"/>
  <c r="M155" i="8"/>
  <c r="M166" i="8" s="1"/>
  <c r="M135" i="8"/>
  <c r="C86" i="9"/>
  <c r="E131" i="8"/>
  <c r="I155" i="8"/>
  <c r="I166" i="8" s="1"/>
  <c r="I135" i="8"/>
  <c r="L46" i="12"/>
  <c r="L48" i="12" s="1"/>
  <c r="L33" i="12"/>
  <c r="L62" i="12"/>
  <c r="L64" i="12" s="1"/>
  <c r="Q155" i="8"/>
  <c r="Q166" i="8" s="1"/>
  <c r="Q135" i="8"/>
  <c r="H46" i="12"/>
  <c r="H48" i="12" s="1"/>
  <c r="H62" i="12"/>
  <c r="H64" i="12" s="1"/>
  <c r="H33" i="12"/>
  <c r="N155" i="8"/>
  <c r="N166" i="8" s="1"/>
  <c r="N135" i="8"/>
  <c r="R155" i="8"/>
  <c r="R166" i="8" s="1"/>
  <c r="R135" i="8"/>
  <c r="G155" i="8"/>
  <c r="G135" i="8"/>
  <c r="K155" i="8"/>
  <c r="K166" i="8" s="1"/>
  <c r="K135" i="8"/>
  <c r="J155" i="8"/>
  <c r="J166" i="8" s="1"/>
  <c r="J135" i="8"/>
  <c r="L155" i="8"/>
  <c r="L166" i="8" s="1"/>
  <c r="L135" i="8"/>
  <c r="M33" i="12"/>
  <c r="M46" i="12"/>
  <c r="M48" i="12" s="1"/>
  <c r="M62" i="12"/>
  <c r="M64" i="12" s="1"/>
  <c r="P46" i="12"/>
  <c r="P48" i="12" s="1"/>
  <c r="P62" i="12"/>
  <c r="P64" i="12" s="1"/>
  <c r="P33" i="12"/>
  <c r="O155" i="8"/>
  <c r="O166" i="8" s="1"/>
  <c r="O135" i="8"/>
  <c r="P135" i="8"/>
  <c r="P155" i="8"/>
  <c r="P166" i="8" s="1"/>
  <c r="C31" i="9"/>
  <c r="C35" i="9" s="1"/>
  <c r="F133" i="8"/>
  <c r="F135" i="8" s="1"/>
  <c r="E20" i="12"/>
  <c r="D66" i="7"/>
  <c r="C75" i="7"/>
  <c r="C29" i="10"/>
  <c r="H155" i="8"/>
  <c r="H166" i="8" s="1"/>
  <c r="H135" i="8"/>
  <c r="P170" i="8" l="1"/>
  <c r="P171" i="8"/>
  <c r="P169" i="8"/>
  <c r="L169" i="8"/>
  <c r="L171" i="8"/>
  <c r="L170" i="8"/>
  <c r="R169" i="8"/>
  <c r="R170" i="8"/>
  <c r="R171" i="8"/>
  <c r="M171" i="8"/>
  <c r="M169" i="8"/>
  <c r="M170" i="8"/>
  <c r="H169" i="8"/>
  <c r="H171" i="8"/>
  <c r="H170" i="8"/>
  <c r="F155" i="8"/>
  <c r="G166" i="8"/>
  <c r="D86" i="9"/>
  <c r="C91" i="9"/>
  <c r="Q170" i="8"/>
  <c r="Q171" i="8"/>
  <c r="Q169" i="8"/>
  <c r="O169" i="8"/>
  <c r="O171" i="8"/>
  <c r="O170" i="8"/>
  <c r="J171" i="8"/>
  <c r="J169" i="8"/>
  <c r="J170" i="8"/>
  <c r="N169" i="8"/>
  <c r="N170" i="8"/>
  <c r="N171" i="8"/>
  <c r="E33" i="12"/>
  <c r="E69" i="12" s="1"/>
  <c r="E133" i="8"/>
  <c r="C155" i="8"/>
  <c r="B27" i="10"/>
  <c r="B29" i="10" s="1"/>
  <c r="C146" i="8"/>
  <c r="F64" i="12"/>
  <c r="E64" i="12" s="1"/>
  <c r="E73" i="12" s="1"/>
  <c r="E62" i="12"/>
  <c r="E65" i="12" s="1"/>
  <c r="C73" i="12" s="1"/>
  <c r="K169" i="8"/>
  <c r="K170" i="8"/>
  <c r="K171" i="8"/>
  <c r="I170" i="8"/>
  <c r="I169" i="8"/>
  <c r="I171" i="8"/>
  <c r="E46" i="12"/>
  <c r="E49" i="12" s="1"/>
  <c r="C72" i="12" s="1"/>
  <c r="F48" i="12"/>
  <c r="E48" i="12" s="1"/>
  <c r="E72" i="12" s="1"/>
  <c r="B33" i="10" l="1"/>
  <c r="C30" i="10"/>
  <c r="B32" i="10"/>
  <c r="A37" i="10"/>
  <c r="O141" i="8"/>
  <c r="C105" i="9"/>
  <c r="R141" i="8"/>
  <c r="C108" i="9"/>
  <c r="C107" i="9"/>
  <c r="Q141" i="8"/>
  <c r="C104" i="9"/>
  <c r="N141" i="8"/>
  <c r="H141" i="8"/>
  <c r="C98" i="9"/>
  <c r="I141" i="8"/>
  <c r="C99" i="9"/>
  <c r="C148" i="8"/>
  <c r="D11" i="9"/>
  <c r="D116" i="9"/>
  <c r="C43" i="9"/>
  <c r="C51" i="9" s="1"/>
  <c r="L141" i="8"/>
  <c r="C102" i="9"/>
  <c r="C103" i="9"/>
  <c r="M141" i="8"/>
  <c r="C101" i="9"/>
  <c r="K141" i="8"/>
  <c r="C100" i="9"/>
  <c r="J141" i="8"/>
  <c r="C106" i="9"/>
  <c r="P141" i="8"/>
  <c r="F166" i="8"/>
  <c r="G170" i="8"/>
  <c r="F170" i="8" s="1"/>
  <c r="G171" i="8"/>
  <c r="F171" i="8" s="1"/>
  <c r="C147" i="8" s="1"/>
  <c r="G169" i="8"/>
  <c r="G141" i="8" s="1"/>
  <c r="B21" i="10" l="1"/>
  <c r="C9" i="9"/>
  <c r="F141" i="8"/>
  <c r="E141" i="8" s="1"/>
  <c r="A23" i="10"/>
  <c r="C48" i="9"/>
  <c r="C45" i="9"/>
  <c r="D15" i="9"/>
  <c r="D12" i="9"/>
  <c r="B34" i="10" s="1"/>
  <c r="E116" i="9"/>
  <c r="C149" i="8"/>
  <c r="C97" i="9"/>
  <c r="C109" i="9" s="1"/>
  <c r="F169" i="8"/>
  <c r="A36" i="10"/>
  <c r="B141" i="8" l="1"/>
</calcChain>
</file>

<file path=xl/comments1.xml><?xml version="1.0" encoding="utf-8"?>
<comments xmlns="http://schemas.openxmlformats.org/spreadsheetml/2006/main">
  <authors>
    <author>Cohn, Alan</author>
  </authors>
  <commentList>
    <comment ref="B60" authorId="0" shapeId="0">
      <text>
        <r>
          <rPr>
            <b/>
            <sz val="9"/>
            <color indexed="81"/>
            <rFont val="Tahoma"/>
            <family val="2"/>
          </rPr>
          <t>Cohn, Alan:</t>
        </r>
        <r>
          <rPr>
            <sz val="9"/>
            <color indexed="81"/>
            <rFont val="Tahoma"/>
            <family val="2"/>
          </rPr>
          <t xml:space="preserve">
Remove all SF </t>
        </r>
      </text>
    </comment>
  </commentList>
</comments>
</file>

<file path=xl/comments2.xml><?xml version="1.0" encoding="utf-8"?>
<comments xmlns="http://schemas.openxmlformats.org/spreadsheetml/2006/main">
  <authors>
    <author>Cohn, Alan</author>
  </authors>
  <commentList>
    <comment ref="B103" authorId="0" shapeId="0">
      <text>
        <r>
          <rPr>
            <b/>
            <sz val="9"/>
            <color indexed="81"/>
            <rFont val="Tahoma"/>
            <family val="2"/>
          </rPr>
          <t>Cohn, Alan:</t>
        </r>
        <r>
          <rPr>
            <sz val="9"/>
            <color indexed="81"/>
            <rFont val="Tahoma"/>
            <family val="2"/>
          </rPr>
          <t xml:space="preserve">
Res and Com</t>
        </r>
      </text>
    </comment>
  </commentList>
</comments>
</file>

<file path=xl/comments3.xml><?xml version="1.0" encoding="utf-8"?>
<comments xmlns="http://schemas.openxmlformats.org/spreadsheetml/2006/main">
  <authors>
    <author>Cohn, Alan</author>
  </authors>
  <commentList>
    <comment ref="B93" authorId="0" shapeId="0">
      <text>
        <r>
          <rPr>
            <b/>
            <sz val="9"/>
            <color indexed="81"/>
            <rFont val="Tahoma"/>
            <family val="2"/>
          </rPr>
          <t>Cohn, Alan:</t>
        </r>
        <r>
          <rPr>
            <sz val="9"/>
            <color indexed="81"/>
            <rFont val="Tahoma"/>
            <family val="2"/>
          </rPr>
          <t xml:space="preserve">
change to D</t>
        </r>
      </text>
    </comment>
  </commentList>
</comments>
</file>

<file path=xl/comments4.xml><?xml version="1.0" encoding="utf-8"?>
<comments xmlns="http://schemas.openxmlformats.org/spreadsheetml/2006/main">
  <authors>
    <author>Cohn, Alan</author>
  </authors>
  <commentList>
    <comment ref="E12" authorId="0" shapeId="0">
      <text>
        <r>
          <rPr>
            <b/>
            <sz val="9"/>
            <color indexed="81"/>
            <rFont val="Tahoma"/>
            <family val="2"/>
          </rPr>
          <t>Cohn, Alan:</t>
        </r>
        <r>
          <rPr>
            <sz val="9"/>
            <color indexed="81"/>
            <rFont val="Tahoma"/>
            <family val="2"/>
          </rPr>
          <t xml:space="preserve">
use 2008 data</t>
        </r>
      </text>
    </comment>
  </commentList>
</comments>
</file>

<file path=xl/comments5.xml><?xml version="1.0" encoding="utf-8"?>
<comments xmlns="http://schemas.openxmlformats.org/spreadsheetml/2006/main">
  <authors>
    <author>Cohn, Alan</author>
  </authors>
  <commentList>
    <comment ref="B58" authorId="0" shapeId="0">
      <text>
        <r>
          <rPr>
            <b/>
            <sz val="9"/>
            <color indexed="81"/>
            <rFont val="Tahoma"/>
            <family val="2"/>
          </rPr>
          <t>Cohn, Alan:</t>
        </r>
        <r>
          <rPr>
            <sz val="9"/>
            <color indexed="81"/>
            <rFont val="Tahoma"/>
            <family val="2"/>
          </rPr>
          <t xml:space="preserve">
Section B</t>
        </r>
      </text>
    </comment>
  </commentList>
</comments>
</file>

<file path=xl/comments6.xml><?xml version="1.0" encoding="utf-8"?>
<comments xmlns="http://schemas.openxmlformats.org/spreadsheetml/2006/main">
  <authors>
    <author>Nishant Parulekar</author>
  </authors>
  <commentList>
    <comment ref="B128" authorId="0" shapeId="0">
      <text>
        <r>
          <rPr>
            <b/>
            <sz val="9"/>
            <color indexed="81"/>
            <rFont val="Tahoma"/>
            <family val="2"/>
          </rPr>
          <t>Nishant Parulekar:</t>
        </r>
        <r>
          <rPr>
            <sz val="9"/>
            <color indexed="81"/>
            <rFont val="Tahoma"/>
            <family val="2"/>
          </rPr>
          <t xml:space="preserve">
The recommended minimum cistern sizing is based on storage of 0.25 inches rainfall depth per square foot of drainage area. Cisterns below the minimum recommended guideline may have insufficient buffering capacity and the calculated rainwater supply availability estimate may not be accurate. Please provide justification and documentation for cistern sizing, buffer storage capacity, and projected supplies as supplementary information to this calculator.</t>
        </r>
      </text>
    </comment>
    <comment ref="F169" authorId="0" shapeId="0">
      <text>
        <r>
          <rPr>
            <b/>
            <sz val="9"/>
            <color indexed="81"/>
            <rFont val="Tahoma"/>
            <family val="2"/>
          </rPr>
          <t>Nishant Parulekar:</t>
        </r>
        <r>
          <rPr>
            <sz val="9"/>
            <color indexed="81"/>
            <rFont val="Tahoma"/>
            <family val="2"/>
          </rPr>
          <t xml:space="preserve">
If Selected Supply &gt; Selected Demand, then Make-Up Water = 0.</t>
        </r>
      </text>
    </comment>
  </commentList>
</comments>
</file>

<file path=xl/comments7.xml><?xml version="1.0" encoding="utf-8"?>
<comments xmlns="http://schemas.openxmlformats.org/spreadsheetml/2006/main">
  <authors>
    <author>Nathan Stormzand</author>
    <author>Lauren Salberg</author>
    <author>Nishant Parulekar</author>
  </authors>
  <commentList>
    <comment ref="X12" authorId="0" shapeId="0">
      <text>
        <r>
          <rPr>
            <b/>
            <sz val="9"/>
            <color indexed="81"/>
            <rFont val="Tahoma"/>
            <family val="2"/>
          </rPr>
          <t>Nathan Stormzand:</t>
        </r>
        <r>
          <rPr>
            <sz val="9"/>
            <color indexed="81"/>
            <rFont val="Tahoma"/>
            <family val="2"/>
          </rPr>
          <t xml:space="preserve">
This variable is no longer used in calculations</t>
        </r>
      </text>
    </comment>
    <comment ref="A19" authorId="1" shapeId="0">
      <text>
        <r>
          <rPr>
            <b/>
            <sz val="9"/>
            <color indexed="81"/>
            <rFont val="Tahoma"/>
            <family val="2"/>
          </rPr>
          <t>Lauren Salberg:</t>
        </r>
        <r>
          <rPr>
            <sz val="9"/>
            <color indexed="81"/>
            <rFont val="Tahoma"/>
            <family val="2"/>
          </rPr>
          <t xml:space="preserve">
These are the values referenced throughout the calculator. They are the monthly average for one year. </t>
        </r>
      </text>
    </comment>
    <comment ref="G20" authorId="2" shapeId="0">
      <text>
        <r>
          <rPr>
            <b/>
            <sz val="9"/>
            <color indexed="81"/>
            <rFont val="Tahoma"/>
            <family val="2"/>
          </rPr>
          <t xml:space="preserve">Note: </t>
        </r>
        <r>
          <rPr>
            <sz val="9"/>
            <color indexed="81"/>
            <rFont val="Tahoma"/>
            <family val="2"/>
          </rPr>
          <t xml:space="preserve">Non-Potable Demands in these columns are demands SELECTED as offsetable by nonpotable supplies
</t>
        </r>
      </text>
    </comment>
    <comment ref="P21" authorId="0" shapeId="0">
      <text>
        <r>
          <rPr>
            <b/>
            <sz val="9"/>
            <color indexed="81"/>
            <rFont val="Tahoma"/>
            <family val="2"/>
          </rPr>
          <t>Nathan Stormzand:</t>
        </r>
        <r>
          <rPr>
            <sz val="9"/>
            <color indexed="81"/>
            <rFont val="Tahoma"/>
            <family val="2"/>
          </rPr>
          <t xml:space="preserve">
Determines whether day will be net positive or negative.  If more demand than runoff + water in cistern, then net negative. Else, net positive.</t>
        </r>
      </text>
    </comment>
  </commentList>
</comments>
</file>

<file path=xl/sharedStrings.xml><?xml version="1.0" encoding="utf-8"?>
<sst xmlns="http://schemas.openxmlformats.org/spreadsheetml/2006/main" count="1945" uniqueCount="899">
  <si>
    <t>September</t>
  </si>
  <si>
    <r>
      <t>ft</t>
    </r>
    <r>
      <rPr>
        <vertAlign val="superscript"/>
        <sz val="10"/>
        <rFont val="Arial"/>
        <family val="2"/>
      </rPr>
      <t>2</t>
    </r>
  </si>
  <si>
    <t>October</t>
  </si>
  <si>
    <t>November</t>
  </si>
  <si>
    <t>December</t>
  </si>
  <si>
    <t>Totals</t>
  </si>
  <si>
    <t>gal/month</t>
  </si>
  <si>
    <t>min</t>
  </si>
  <si>
    <t>July</t>
  </si>
  <si>
    <t>August</t>
  </si>
  <si>
    <t>Other</t>
  </si>
  <si>
    <t>A</t>
  </si>
  <si>
    <t>B</t>
  </si>
  <si>
    <t>C</t>
  </si>
  <si>
    <t>D</t>
  </si>
  <si>
    <t>E</t>
  </si>
  <si>
    <t>F</t>
  </si>
  <si>
    <t>G</t>
  </si>
  <si>
    <t>H</t>
  </si>
  <si>
    <t>Total</t>
  </si>
  <si>
    <t>TOTAL</t>
  </si>
  <si>
    <t>Irrigation Demand</t>
  </si>
  <si>
    <t>Month</t>
  </si>
  <si>
    <t>in/month</t>
  </si>
  <si>
    <t>gal/mo</t>
  </si>
  <si>
    <t>gpd</t>
  </si>
  <si>
    <t>(in/unit area)</t>
  </si>
  <si>
    <t>days/mo</t>
  </si>
  <si>
    <t>January</t>
  </si>
  <si>
    <t>February</t>
  </si>
  <si>
    <t>March</t>
  </si>
  <si>
    <t>April</t>
  </si>
  <si>
    <t>May</t>
  </si>
  <si>
    <t>June</t>
  </si>
  <si>
    <t>Total Irrigation Area</t>
  </si>
  <si>
    <t>Average Coefficient</t>
  </si>
  <si>
    <t>Irrigation Efficiency</t>
  </si>
  <si>
    <t>NON-POTABLE WATER CALCULATOR</t>
  </si>
  <si>
    <t>LEGEND:</t>
  </si>
  <si>
    <t>Project Name:</t>
  </si>
  <si>
    <t xml:space="preserve">Project Address: </t>
  </si>
  <si>
    <t>Project Date:</t>
  </si>
  <si>
    <t>Project Contact:</t>
  </si>
  <si>
    <t>Residential type:</t>
  </si>
  <si>
    <t>Multi-family</t>
  </si>
  <si>
    <t>Default assumed as multi-family housing.</t>
  </si>
  <si>
    <t>Persons per Household Unit:</t>
  </si>
  <si>
    <t>No. of residential units:</t>
  </si>
  <si>
    <t>No. of residential occupants:</t>
  </si>
  <si>
    <t>Space Type</t>
  </si>
  <si>
    <t>Description</t>
  </si>
  <si>
    <t>No. of Full-Time Equivalents (FTE)</t>
  </si>
  <si>
    <t>Describe Space Type</t>
  </si>
  <si>
    <t>/</t>
  </si>
  <si>
    <t>Restaurant</t>
  </si>
  <si>
    <t>Notes:</t>
  </si>
  <si>
    <t>Instructions:</t>
  </si>
  <si>
    <t>Fixture Type (Daily Use)</t>
  </si>
  <si>
    <t>Flow Rate</t>
  </si>
  <si>
    <t>Unit</t>
  </si>
  <si>
    <t>No. of occupants</t>
  </si>
  <si>
    <r>
      <t xml:space="preserve">Showerhead </t>
    </r>
    <r>
      <rPr>
        <vertAlign val="superscript"/>
        <sz val="11"/>
        <color theme="1"/>
        <rFont val="Calibri"/>
        <family val="2"/>
        <scheme val="minor"/>
      </rPr>
      <t>(1)</t>
    </r>
  </si>
  <si>
    <t>gpm</t>
  </si>
  <si>
    <t>N/A</t>
  </si>
  <si>
    <r>
      <t xml:space="preserve">Bathroom Faucet </t>
    </r>
    <r>
      <rPr>
        <vertAlign val="superscript"/>
        <sz val="11"/>
        <color theme="1"/>
        <rFont val="Calibri"/>
        <family val="2"/>
        <scheme val="minor"/>
      </rPr>
      <t>(2)</t>
    </r>
  </si>
  <si>
    <r>
      <t xml:space="preserve">Bath </t>
    </r>
    <r>
      <rPr>
        <vertAlign val="superscript"/>
        <sz val="11"/>
        <color theme="1"/>
        <rFont val="Calibri"/>
        <family val="2"/>
        <scheme val="minor"/>
      </rPr>
      <t>(2)</t>
    </r>
  </si>
  <si>
    <r>
      <t xml:space="preserve">Toilet (Water Closet) </t>
    </r>
    <r>
      <rPr>
        <vertAlign val="superscript"/>
        <sz val="11"/>
        <color theme="1"/>
        <rFont val="Calibri"/>
        <family val="2"/>
        <scheme val="minor"/>
      </rPr>
      <t>(1)</t>
    </r>
  </si>
  <si>
    <t>flush</t>
  </si>
  <si>
    <r>
      <t xml:space="preserve">Kitchen Faucet </t>
    </r>
    <r>
      <rPr>
        <vertAlign val="superscript"/>
        <sz val="11"/>
        <color theme="1"/>
        <rFont val="Calibri"/>
        <family val="2"/>
        <scheme val="minor"/>
      </rPr>
      <t>(1)</t>
    </r>
  </si>
  <si>
    <r>
      <t xml:space="preserve">Washing Machine </t>
    </r>
    <r>
      <rPr>
        <vertAlign val="superscript"/>
        <sz val="11"/>
        <color theme="1"/>
        <rFont val="Calibri"/>
        <family val="2"/>
        <scheme val="minor"/>
      </rPr>
      <t>(3)</t>
    </r>
  </si>
  <si>
    <r>
      <t xml:space="preserve">Dishwasher </t>
    </r>
    <r>
      <rPr>
        <vertAlign val="superscript"/>
        <sz val="11"/>
        <color theme="1"/>
        <rFont val="Calibri"/>
        <family val="2"/>
        <scheme val="minor"/>
      </rPr>
      <t>(3)</t>
    </r>
  </si>
  <si>
    <t>-</t>
  </si>
  <si>
    <t>Yes</t>
  </si>
  <si>
    <t>No</t>
  </si>
  <si>
    <t>Graywater Available for Reuse (gpd)</t>
  </si>
  <si>
    <t>Showerhead</t>
  </si>
  <si>
    <t>Bathroom Faucet</t>
  </si>
  <si>
    <t>Bath</t>
  </si>
  <si>
    <t>Toilet (Water Closet)</t>
  </si>
  <si>
    <t>Kitchen Faucet</t>
  </si>
  <si>
    <t>Washing Machine</t>
  </si>
  <si>
    <t>Dishwasher</t>
  </si>
  <si>
    <t>Lavatory Faucet</t>
  </si>
  <si>
    <t>Low Flow Sprayer - Restaurants</t>
  </si>
  <si>
    <t>Actual Evapotranspiration</t>
  </si>
  <si>
    <t>COMMERCIAL</t>
  </si>
  <si>
    <t>Default Value</t>
  </si>
  <si>
    <t>Autogenerated Value</t>
  </si>
  <si>
    <t>No. of Transient FTEs</t>
  </si>
  <si>
    <t>Linked from User Input</t>
  </si>
  <si>
    <t>Total Water Demand (gpd)</t>
  </si>
  <si>
    <t>Allowable End Use for Non-Potable?</t>
  </si>
  <si>
    <t>Select One</t>
  </si>
  <si>
    <t>Ave. Monthly Rainfall</t>
  </si>
  <si>
    <t>Reference Evapotranspiration</t>
  </si>
  <si>
    <t>% of Annual</t>
  </si>
  <si>
    <r>
      <t>Species Factor - k</t>
    </r>
    <r>
      <rPr>
        <vertAlign val="subscript"/>
        <sz val="11"/>
        <rFont val="Calibri"/>
        <family val="2"/>
        <scheme val="minor"/>
      </rPr>
      <t>s</t>
    </r>
  </si>
  <si>
    <r>
      <t>Density Factor - k</t>
    </r>
    <r>
      <rPr>
        <vertAlign val="subscript"/>
        <sz val="11"/>
        <rFont val="Calibri"/>
        <family val="2"/>
        <scheme val="minor"/>
      </rPr>
      <t>d</t>
    </r>
  </si>
  <si>
    <r>
      <t>Microclimate Factor - k</t>
    </r>
    <r>
      <rPr>
        <vertAlign val="subscript"/>
        <sz val="11"/>
        <rFont val="Calibri"/>
        <family val="2"/>
        <scheme val="minor"/>
      </rPr>
      <t>mc</t>
    </r>
  </si>
  <si>
    <r>
      <t>Landscape Coefficient - K</t>
    </r>
    <r>
      <rPr>
        <vertAlign val="subscript"/>
        <sz val="11"/>
        <rFont val="Calibri"/>
        <family val="2"/>
        <scheme val="minor"/>
      </rPr>
      <t>L</t>
    </r>
  </si>
  <si>
    <r>
      <t>ft</t>
    </r>
    <r>
      <rPr>
        <b/>
        <vertAlign val="superscript"/>
        <sz val="11"/>
        <color theme="0"/>
        <rFont val="Calibri"/>
        <family val="2"/>
        <scheme val="minor"/>
      </rPr>
      <t>3</t>
    </r>
    <r>
      <rPr>
        <b/>
        <sz val="11"/>
        <color theme="0"/>
        <rFont val="Calibri"/>
        <family val="2"/>
        <scheme val="minor"/>
      </rPr>
      <t>/month</t>
    </r>
  </si>
  <si>
    <t>Average Runoff Coefficient</t>
  </si>
  <si>
    <t>Graywater</t>
  </si>
  <si>
    <t>FTE</t>
  </si>
  <si>
    <t>Transient FTE</t>
  </si>
  <si>
    <t>General Office</t>
  </si>
  <si>
    <t>Retail, general</t>
  </si>
  <si>
    <t>Grocery store</t>
  </si>
  <si>
    <t>Medical office</t>
  </si>
  <si>
    <t>R&amp;D or laboratory</t>
  </si>
  <si>
    <t>Warehouse, distribution</t>
  </si>
  <si>
    <t>Warehouse, storage</t>
  </si>
  <si>
    <t>Educational, daycare</t>
  </si>
  <si>
    <t>Educational, K-12</t>
  </si>
  <si>
    <t>Educational, postsecondary</t>
  </si>
  <si>
    <t>Service (e.g. financial, auto)</t>
  </si>
  <si>
    <t xml:space="preserve"> </t>
  </si>
  <si>
    <t>Block Lot(s):</t>
  </si>
  <si>
    <t>Calculated based on data in Columns E and F</t>
  </si>
  <si>
    <t>(4) Applied to General Office, Grocery Store, Medical Office, R&amp;D or Laboratory, and Educational Facilities.</t>
  </si>
  <si>
    <t>Commercial Laundry</t>
  </si>
  <si>
    <t>Total number of residential occupants in the project based on default persons per household unit.</t>
  </si>
  <si>
    <t>Fixture Type</t>
  </si>
  <si>
    <t>Total Water Demand (gpd) = (Flow Rate x Duration x Ave Daily Use x No. of FTEs) + (Flow Rate x Duration x Ave Daily Use (Transient FTE) x No. of Transient FTEs)</t>
  </si>
  <si>
    <t>gpy</t>
  </si>
  <si>
    <t>Indoor Decorative Water Feature:</t>
  </si>
  <si>
    <t>Commercial Laundry:</t>
  </si>
  <si>
    <t>Blackwater</t>
  </si>
  <si>
    <t>gal/load</t>
  </si>
  <si>
    <t>loads/day</t>
  </si>
  <si>
    <t>no. of days</t>
  </si>
  <si>
    <t>Please include other indoor demands in your building if applicable.</t>
  </si>
  <si>
    <t>HVAC/Cooling</t>
  </si>
  <si>
    <t>Indoor Decorative Water Feature</t>
  </si>
  <si>
    <t>E.g. indoor fountains with no contact</t>
  </si>
  <si>
    <t>Other Non-Potable Demand</t>
  </si>
  <si>
    <t>Estimated Value</t>
  </si>
  <si>
    <t>Other Reusable Supplies</t>
  </si>
  <si>
    <t>Estimated Supply (gpd)</t>
  </si>
  <si>
    <t>Estimated Supply (gpy)</t>
  </si>
  <si>
    <t>No. of days within a year supply is available</t>
  </si>
  <si>
    <t>Other &lt;Please specify&gt;</t>
  </si>
  <si>
    <t>Other &lt;Please Specify&gt;</t>
  </si>
  <si>
    <t>Roof (Conventional)</t>
  </si>
  <si>
    <t>Pavement (Conventional)</t>
  </si>
  <si>
    <r>
      <t xml:space="preserve">Urinals </t>
    </r>
    <r>
      <rPr>
        <vertAlign val="superscript"/>
        <sz val="11"/>
        <rFont val="Calibri"/>
        <family val="2"/>
        <scheme val="minor"/>
      </rPr>
      <t>(2)(3)</t>
    </r>
  </si>
  <si>
    <t>Urinals</t>
  </si>
  <si>
    <r>
      <t>Proposed (ft</t>
    </r>
    <r>
      <rPr>
        <b/>
        <vertAlign val="superscript"/>
        <sz val="11"/>
        <color theme="0"/>
        <rFont val="Calibri"/>
        <family val="2"/>
        <scheme val="minor"/>
      </rPr>
      <t>2</t>
    </r>
    <r>
      <rPr>
        <b/>
        <sz val="11"/>
        <color theme="0"/>
        <rFont val="Calibri"/>
        <family val="2"/>
        <scheme val="minor"/>
      </rPr>
      <t>)</t>
    </r>
  </si>
  <si>
    <t>Gross Area (GSF)</t>
  </si>
  <si>
    <t>Enter GSF where applicable</t>
  </si>
  <si>
    <t>GSF per occupant</t>
  </si>
  <si>
    <t>Key</t>
  </si>
  <si>
    <t>gpm: gallons per minute</t>
  </si>
  <si>
    <t>gpf</t>
  </si>
  <si>
    <t>gpf: gallons per flush</t>
  </si>
  <si>
    <t>gal/emp/day: gallons per employee per day</t>
  </si>
  <si>
    <t>gpd: gallons per day</t>
  </si>
  <si>
    <r>
      <t xml:space="preserve">Low Flow Sprayer - Restaurants </t>
    </r>
    <r>
      <rPr>
        <vertAlign val="superscript"/>
        <sz val="11"/>
        <color theme="1"/>
        <rFont val="Calibri"/>
        <family val="2"/>
        <scheme val="minor"/>
      </rPr>
      <t>(5)</t>
    </r>
  </si>
  <si>
    <r>
      <t xml:space="preserve">Kitchen Faucet </t>
    </r>
    <r>
      <rPr>
        <vertAlign val="superscript"/>
        <sz val="11"/>
        <rFont val="Calibri"/>
        <family val="2"/>
        <scheme val="minor"/>
      </rPr>
      <t>(2)(4)</t>
    </r>
  </si>
  <si>
    <t xml:space="preserve">Enter general project information below. </t>
  </si>
  <si>
    <t>User Input</t>
  </si>
  <si>
    <t>For projects that are residential or include residential units, please provide the number of residential units below. The default type of residential unit assumed is multi-family residential.</t>
  </si>
  <si>
    <t>&gt;&gt;&gt; Please proceed on to Step 2: Calculate Indoor Water Demand</t>
  </si>
  <si>
    <t>User Input Instructions:</t>
  </si>
  <si>
    <t>Total Building Size (gross square footage/GSF)</t>
  </si>
  <si>
    <t>Average</t>
  </si>
  <si>
    <t>Monthly Demand (gal/mth)</t>
  </si>
  <si>
    <r>
      <t>City Temperature (</t>
    </r>
    <r>
      <rPr>
        <b/>
        <sz val="11"/>
        <color theme="0"/>
        <rFont val="Calibri"/>
        <family val="2"/>
      </rPr>
      <t>°F)</t>
    </r>
    <r>
      <rPr>
        <b/>
        <vertAlign val="superscript"/>
        <sz val="11"/>
        <color theme="0"/>
        <rFont val="Calibri"/>
        <family val="2"/>
      </rPr>
      <t>(1)</t>
    </r>
  </si>
  <si>
    <r>
      <t>Estimated Use (gpd/ft</t>
    </r>
    <r>
      <rPr>
        <b/>
        <vertAlign val="superscript"/>
        <sz val="11"/>
        <color theme="0"/>
        <rFont val="Calibri"/>
        <family val="2"/>
        <scheme val="minor"/>
      </rPr>
      <t>2</t>
    </r>
    <r>
      <rPr>
        <b/>
        <sz val="11"/>
        <color theme="0"/>
        <rFont val="Calibri"/>
        <family val="2"/>
        <scheme val="minor"/>
      </rPr>
      <t>)</t>
    </r>
    <r>
      <rPr>
        <b/>
        <vertAlign val="superscript"/>
        <sz val="11"/>
        <color theme="0"/>
        <rFont val="Calibri"/>
        <family val="2"/>
        <scheme val="minor"/>
      </rPr>
      <t>(2)</t>
    </r>
  </si>
  <si>
    <t>Other Non-Potable Demand:</t>
  </si>
  <si>
    <t>I.e. commercial laundry facilities that are operated by designated staff and are not available for general public use</t>
  </si>
  <si>
    <t>&gt;&gt;&gt; Please proceed on to Step 3: Calculate Indoor Non-Potable Supply</t>
  </si>
  <si>
    <t>(1) Graywater and blackwater supply availability are estimated assuming a 10% treatment loss.</t>
  </si>
  <si>
    <t>(2) Default assumes cooling tower discharge as blackwater supply.</t>
  </si>
  <si>
    <r>
      <t xml:space="preserve">Treatment Recovery Rate </t>
    </r>
    <r>
      <rPr>
        <b/>
        <vertAlign val="superscript"/>
        <sz val="11"/>
        <color theme="0"/>
        <rFont val="Calibri"/>
        <family val="2"/>
        <scheme val="minor"/>
      </rPr>
      <t>(1)</t>
    </r>
    <r>
      <rPr>
        <b/>
        <sz val="11"/>
        <color theme="0"/>
        <rFont val="Calibri"/>
        <family val="2"/>
        <scheme val="minor"/>
      </rPr>
      <t xml:space="preserve"> (%)</t>
    </r>
  </si>
  <si>
    <t>&gt;&gt;&gt; Please proceed on to Step 4: Calculate Outdoor Water Demand</t>
  </si>
  <si>
    <t>&gt;&gt;&gt; Please proceed on to Step 5: Calculate Outdoor Water Supply</t>
  </si>
  <si>
    <t>Rainwater</t>
  </si>
  <si>
    <t>&gt;&gt;&gt; Please proceed on to Step 6: Summary of Building Potential</t>
  </si>
  <si>
    <t>Landscaped Area</t>
  </si>
  <si>
    <t>Impervious Surfaces - Above Grade</t>
  </si>
  <si>
    <t>Impervious Surfaces - At or Below Grade</t>
  </si>
  <si>
    <t>Green Roof</t>
  </si>
  <si>
    <t>&lt;Please specify here&gt;</t>
  </si>
  <si>
    <t>Crop Coefficient - Kc</t>
  </si>
  <si>
    <t>Turfgrass</t>
  </si>
  <si>
    <r>
      <t>ft</t>
    </r>
    <r>
      <rPr>
        <vertAlign val="superscript"/>
        <sz val="11"/>
        <rFont val="Calibri"/>
        <family val="2"/>
        <scheme val="minor"/>
      </rPr>
      <t>2</t>
    </r>
  </si>
  <si>
    <r>
      <t xml:space="preserve"> K</t>
    </r>
    <r>
      <rPr>
        <i/>
        <vertAlign val="subscript"/>
        <sz val="11"/>
        <color theme="0" tint="-0.499984740745262"/>
        <rFont val="Calibri"/>
        <family val="2"/>
        <scheme val="minor"/>
      </rPr>
      <t>L</t>
    </r>
    <r>
      <rPr>
        <i/>
        <sz val="11"/>
        <color theme="0" tint="-0.499984740745262"/>
        <rFont val="Calibri"/>
        <family val="2"/>
        <scheme val="minor"/>
      </rPr>
      <t xml:space="preserve"> = k</t>
    </r>
    <r>
      <rPr>
        <i/>
        <vertAlign val="subscript"/>
        <sz val="11"/>
        <color theme="0" tint="-0.499984740745262"/>
        <rFont val="Calibri"/>
        <family val="2"/>
        <scheme val="minor"/>
      </rPr>
      <t>s</t>
    </r>
    <r>
      <rPr>
        <i/>
        <sz val="11"/>
        <color theme="0" tint="-0.499984740745262"/>
        <rFont val="Calibri"/>
        <family val="2"/>
        <scheme val="minor"/>
      </rPr>
      <t>*k</t>
    </r>
    <r>
      <rPr>
        <i/>
        <vertAlign val="subscript"/>
        <sz val="11"/>
        <color theme="0" tint="-0.499984740745262"/>
        <rFont val="Calibri"/>
        <family val="2"/>
        <scheme val="minor"/>
      </rPr>
      <t>d</t>
    </r>
    <r>
      <rPr>
        <i/>
        <sz val="11"/>
        <color theme="0" tint="-0.499984740745262"/>
        <rFont val="Calibri"/>
        <family val="2"/>
        <scheme val="minor"/>
      </rPr>
      <t>*k</t>
    </r>
    <r>
      <rPr>
        <i/>
        <vertAlign val="subscript"/>
        <sz val="11"/>
        <color theme="0" tint="-0.499984740745262"/>
        <rFont val="Calibri"/>
        <family val="2"/>
        <scheme val="minor"/>
      </rPr>
      <t>mc</t>
    </r>
  </si>
  <si>
    <r>
      <t>Crop Coefficient (K</t>
    </r>
    <r>
      <rPr>
        <u/>
        <vertAlign val="subscript"/>
        <sz val="11"/>
        <rFont val="Calibri"/>
        <family val="2"/>
        <scheme val="minor"/>
      </rPr>
      <t>C</t>
    </r>
    <r>
      <rPr>
        <u/>
        <sz val="11"/>
        <rFont val="Calibri"/>
        <family val="2"/>
        <scheme val="minor"/>
      </rPr>
      <t>):</t>
    </r>
  </si>
  <si>
    <r>
      <t>Landscape Coefficient (K</t>
    </r>
    <r>
      <rPr>
        <u/>
        <vertAlign val="subscript"/>
        <sz val="11"/>
        <rFont val="Calibri"/>
        <family val="2"/>
        <scheme val="minor"/>
      </rPr>
      <t>L</t>
    </r>
    <r>
      <rPr>
        <u/>
        <sz val="11"/>
        <rFont val="Calibri"/>
        <family val="2"/>
        <scheme val="minor"/>
      </rPr>
      <t>):</t>
    </r>
  </si>
  <si>
    <r>
      <t>Species Factor (k</t>
    </r>
    <r>
      <rPr>
        <u/>
        <vertAlign val="subscript"/>
        <sz val="11"/>
        <rFont val="Calibri"/>
        <family val="2"/>
        <scheme val="minor"/>
      </rPr>
      <t>s</t>
    </r>
    <r>
      <rPr>
        <u/>
        <sz val="11"/>
        <rFont val="Calibri"/>
        <family val="2"/>
        <scheme val="minor"/>
      </rPr>
      <t>):</t>
    </r>
  </si>
  <si>
    <r>
      <t>Density Factor (k</t>
    </r>
    <r>
      <rPr>
        <u/>
        <vertAlign val="subscript"/>
        <sz val="11"/>
        <rFont val="Calibri"/>
        <family val="2"/>
        <scheme val="minor"/>
      </rPr>
      <t>d</t>
    </r>
    <r>
      <rPr>
        <u/>
        <sz val="11"/>
        <rFont val="Calibri"/>
        <family val="2"/>
        <scheme val="minor"/>
      </rPr>
      <t>):</t>
    </r>
  </si>
  <si>
    <r>
      <t>Microclimate Factor (k</t>
    </r>
    <r>
      <rPr>
        <u/>
        <vertAlign val="subscript"/>
        <sz val="11"/>
        <rFont val="Calibri"/>
        <family val="2"/>
        <scheme val="minor"/>
      </rPr>
      <t>mc</t>
    </r>
    <r>
      <rPr>
        <u/>
        <sz val="11"/>
        <rFont val="Calibri"/>
        <family val="2"/>
        <scheme val="minor"/>
      </rPr>
      <t>):</t>
    </r>
  </si>
  <si>
    <t>Water loss from turfgrass or a crop.</t>
  </si>
  <si>
    <t>Water loss from landscape plantings based on species, density and microclimate factors.</t>
  </si>
  <si>
    <t>Used to account for differences in microclimate in every landscape. An "average" microclimate condition is equivalent to reference evapotranspiration conditions. This microclimate is not substantially affected by nearby buildings, structures, pavements, slopes or reflective surfaces.</t>
  </si>
  <si>
    <t>Used to account for differences in vegetation density among landscape plantings. Refer to Pg. 18 of the Guide to Estimating Water Needs of Landscape Plantings in CA on how to determine density factors.</t>
  </si>
  <si>
    <t>Used to account for differences in species' water needs. Refer to Pg. 12 of the Guide to Estimating Water Needs of Landscape Plantings in CA to determine species factors.</t>
  </si>
  <si>
    <t>The Guide to Estimating Water Needs of Landscape Plantings in CA</t>
  </si>
  <si>
    <t>Definitions - For more guidance, refer to:</t>
  </si>
  <si>
    <t>Roof Runoff Coefficient</t>
  </si>
  <si>
    <t>in/mth</t>
  </si>
  <si>
    <t>Days in Month</t>
  </si>
  <si>
    <r>
      <t>ft</t>
    </r>
    <r>
      <rPr>
        <i/>
        <vertAlign val="superscript"/>
        <sz val="12"/>
        <color theme="0" tint="-0.499984740745262"/>
        <rFont val="Calibri"/>
        <family val="2"/>
        <scheme val="minor"/>
      </rPr>
      <t>2</t>
    </r>
  </si>
  <si>
    <t>Runoff Coefficient</t>
  </si>
  <si>
    <t>Total Above Grade Capture Area</t>
  </si>
  <si>
    <t>Domestic Fixtures</t>
  </si>
  <si>
    <t>Bathroom/Lavatory Faucets</t>
  </si>
  <si>
    <t>Toilets and Urinals</t>
  </si>
  <si>
    <t>Demand Types</t>
  </si>
  <si>
    <t>Other Indoor Demands</t>
  </si>
  <si>
    <t>Ave Daily Water Demand (gpd)</t>
  </si>
  <si>
    <t>Annual Water Demand (gpy)</t>
  </si>
  <si>
    <t>Conventional Cooling</t>
  </si>
  <si>
    <t>Supply Types</t>
  </si>
  <si>
    <t>Kitchen Faucets</t>
  </si>
  <si>
    <t>Available Graywater (gpd)</t>
  </si>
  <si>
    <t>Available Blackwater (gpd)</t>
  </si>
  <si>
    <t>Ave Daily Supply (gpd)</t>
  </si>
  <si>
    <t>Annual Supply (gpy)</t>
  </si>
  <si>
    <t>Will non-potable supplies be used to meet this demand?</t>
  </si>
  <si>
    <t>Ave. Daily Non-Potable Demand (gpd)</t>
  </si>
  <si>
    <t>Annual Non-Potable Demand (gpy)</t>
  </si>
  <si>
    <t>Will this supply be reused onsite?</t>
  </si>
  <si>
    <t>Monthly Supply (gal/mth)</t>
  </si>
  <si>
    <t>Select "Yes" from the dropdown menu for the demands that are planned to be met with onsite supplies.</t>
  </si>
  <si>
    <t>OTHER INDOOR DEMANDS THAT CAN BE MET WITH NON-POTABLE SUPPLIES</t>
  </si>
  <si>
    <t>&gt;&gt;&gt; Please proceed on to Step 7: Project Definition</t>
  </si>
  <si>
    <t>Enter the site's proposed areas of impervious and landscaped surfaces.</t>
  </si>
  <si>
    <t>Note: Water from swimming pools, garden and greenhouse sinks, water softener backflush, and floor drains may not be suitable for irrigation.</t>
  </si>
  <si>
    <t>Available Graywater (gpy)</t>
  </si>
  <si>
    <t>Available Blackwater (gpy)</t>
  </si>
  <si>
    <t>Available Foundation Drainage (gpy)</t>
  </si>
  <si>
    <t>Decorative Water Feature</t>
  </si>
  <si>
    <t>Average Monthly Demand (gal/mth)</t>
  </si>
  <si>
    <t>SUBTOTAL</t>
  </si>
  <si>
    <t>GRAND TOTAL</t>
  </si>
  <si>
    <t>DOMESTIC FIXTURES - Multi-Family Residential</t>
  </si>
  <si>
    <t>DOMESTIC FIXTURES  - Commercial</t>
  </si>
  <si>
    <t>HVAC/COOLING</t>
  </si>
  <si>
    <t>OUTDOOR DEMANDS</t>
  </si>
  <si>
    <t>Landscape Irrigation</t>
  </si>
  <si>
    <t>Demands that can be met with Non-Potable Supplies</t>
  </si>
  <si>
    <t>Outdoor Demands</t>
  </si>
  <si>
    <t>INDOOR SUBTOTAL</t>
  </si>
  <si>
    <t>OUTDOOR SUBTOTAL</t>
  </si>
  <si>
    <t>Cistern Size (gallons)</t>
  </si>
  <si>
    <t>Storm Percentile</t>
  </si>
  <si>
    <t>Non-Potable Demand (gal/mth)</t>
  </si>
  <si>
    <r>
      <t>Total Above Grade Area Draining to Cistern (ft</t>
    </r>
    <r>
      <rPr>
        <vertAlign val="superscript"/>
        <sz val="11"/>
        <rFont val="Calibri"/>
        <family val="2"/>
        <scheme val="minor"/>
      </rPr>
      <t>2</t>
    </r>
    <r>
      <rPr>
        <sz val="11"/>
        <rFont val="Calibri"/>
        <family val="2"/>
        <scheme val="minor"/>
      </rPr>
      <t>)</t>
    </r>
  </si>
  <si>
    <t>Indicate Proposed Cistern Size (gallons)</t>
  </si>
  <si>
    <t xml:space="preserve">Select "Yes" from the dropdown menu for the supplies that are planned for onsite reuse. </t>
  </si>
  <si>
    <t>Select "Yes" in the table below if project plans to harvest rainwater or stormwater for reuse, and enter separate cistern sizes for rainwater and stormwater storage.</t>
  </si>
  <si>
    <t>Allowable Non-Potable Demand (gpy)</t>
  </si>
  <si>
    <t>Total Annual Toilet/Urinal Flushing Demand (gpy)</t>
  </si>
  <si>
    <t>Total Annual Irrigation Demand (gpy)</t>
  </si>
  <si>
    <t>Total Annual Graywater Supply (gpy)</t>
  </si>
  <si>
    <t>Total Annual Blackwater Supply (gpy)</t>
  </si>
  <si>
    <t>Total Annual Rainwater Supply (gpy)</t>
  </si>
  <si>
    <t>Rainwater Cistern Capture Calculation</t>
  </si>
  <si>
    <t>COMPARISON OF NON-POTABLE DEMANDS TO SUPPLIES</t>
  </si>
  <si>
    <t>Type</t>
  </si>
  <si>
    <t>Supply</t>
  </si>
  <si>
    <t>Demand</t>
  </si>
  <si>
    <t>Toilet/Urinal Flushing</t>
  </si>
  <si>
    <t>% of Total Water Demand</t>
  </si>
  <si>
    <t>Step 1 of 7: Enter Project Information</t>
  </si>
  <si>
    <t>Step 2 of 7: Calculate Indoor Water Demand (Indoor Fixtures and Fittings)</t>
  </si>
  <si>
    <t>D. OTHER INDOOR DEMANDS THAT CAN BE MET WITH NON-POTABLE SUPPLIES</t>
  </si>
  <si>
    <t xml:space="preserve">A. LANDSCAPE IRRIGATION DEMAND </t>
  </si>
  <si>
    <t>B. OTHER OUTDOOR DEMANDS THAT CAN BE MET WITH NON-POTABLE SUPPLIES</t>
  </si>
  <si>
    <t>Please specify other non-potable demands associated with outdoor water use below.</t>
  </si>
  <si>
    <t>A. RAINWATER SUPPLY (Runoff harvested above grade, e.g. rooftops)</t>
  </si>
  <si>
    <t>Step 6 of 7: Summary of Building Potential</t>
  </si>
  <si>
    <r>
      <t xml:space="preserve">A. TOTAL DEMAND </t>
    </r>
    <r>
      <rPr>
        <sz val="12"/>
        <rFont val="Calibri"/>
        <family val="2"/>
        <scheme val="minor"/>
      </rPr>
      <t>(No user input needed - auto-calculated)</t>
    </r>
  </si>
  <si>
    <r>
      <t>TOTAL ONSITE SUPPLIES</t>
    </r>
    <r>
      <rPr>
        <sz val="12"/>
        <rFont val="Calibri"/>
        <family val="2"/>
        <scheme val="minor"/>
      </rPr>
      <t xml:space="preserve"> (No user input needed - auto-calculated)</t>
    </r>
  </si>
  <si>
    <t>Step 7 of 7: Define Project Non-Potable Demands and Supplies</t>
  </si>
  <si>
    <t>A. DEFINITION OF NON-POTABLE DEMANDS</t>
  </si>
  <si>
    <t>B. DEFINITION OF ONSITE SUPPLIES TO BE USED</t>
  </si>
  <si>
    <t>Detailed cistern capture calculations are located in the "Rainwater" and "Stormwater" backup data tabs for reference.</t>
  </si>
  <si>
    <t>&gt;&gt;&gt; End of Analysis</t>
  </si>
  <si>
    <t>CALCULATOR LAYOUT</t>
  </si>
  <si>
    <t>Enter Project Information</t>
  </si>
  <si>
    <t>Calculate Indoor Water Demand (Indoor Fixtures and Fittings)</t>
  </si>
  <si>
    <t>Calculate Outdoor Water Demand (Landscape Irrigation, Outdoor Water Features)</t>
  </si>
  <si>
    <t>Summary of Building Potential</t>
  </si>
  <si>
    <t>Define Project Non-Potable Demands and Supplies</t>
  </si>
  <si>
    <t>Calculator Backup Data</t>
  </si>
  <si>
    <t>1. Use the tabs at the bottom of the pages to navigate from step to step.</t>
  </si>
  <si>
    <t>HOW TO USE THE CALCULATOR TOOL</t>
  </si>
  <si>
    <t>PURPOSE OF THE CALCULATOR TOOL</t>
  </si>
  <si>
    <t>2. DO NOT SKIP STEPS.</t>
  </si>
  <si>
    <t>3. Worksheets requiring user input have instructions highlighted in red at the top of each page and before each section.</t>
  </si>
  <si>
    <t>5. Backup data used in the calculations are located after the "Calculator Backup" tab for reference.</t>
  </si>
  <si>
    <t>CALCULATOR USE ASSUMPTIONS</t>
  </si>
  <si>
    <t>&gt;&gt;&gt; Click on the next tab "1. Building Information" to begin</t>
  </si>
  <si>
    <t>Project Summary Sheet</t>
  </si>
  <si>
    <t>Project Address:</t>
  </si>
  <si>
    <t>Assessor's Block &amp; Lot No. / APN:</t>
  </si>
  <si>
    <t>Building Type:</t>
  </si>
  <si>
    <t>Total Building Size (gross square footage or GSF):</t>
  </si>
  <si>
    <t>Number of Residential Units:</t>
  </si>
  <si>
    <t>Impervious Surface Above Grade:</t>
  </si>
  <si>
    <t>Landscaped Area:</t>
  </si>
  <si>
    <t>Impervious Surface Below Grade:</t>
  </si>
  <si>
    <r>
      <t>Total Lot Size (ft</t>
    </r>
    <r>
      <rPr>
        <i/>
        <vertAlign val="superscript"/>
        <sz val="10"/>
        <rFont val="Arial"/>
        <family val="2"/>
      </rPr>
      <t>2</t>
    </r>
    <r>
      <rPr>
        <i/>
        <sz val="10"/>
        <rFont val="Arial"/>
        <family val="2"/>
      </rPr>
      <t>):</t>
    </r>
  </si>
  <si>
    <t>Site Location (Zone):</t>
  </si>
  <si>
    <t>Alternate Water Sources Estimates</t>
  </si>
  <si>
    <t>On-site Alternate Water Source Supplies</t>
  </si>
  <si>
    <t>Water Quantity
(gpy)</t>
  </si>
  <si>
    <t>Rainwater:</t>
  </si>
  <si>
    <t>Stormwater:</t>
  </si>
  <si>
    <t>Graywater:</t>
  </si>
  <si>
    <t>Foundation Drainage:</t>
  </si>
  <si>
    <t>update</t>
  </si>
  <si>
    <t>residential units</t>
  </si>
  <si>
    <t>Notes</t>
  </si>
  <si>
    <t>Update Links</t>
  </si>
  <si>
    <t>Toilets/Urinals:</t>
  </si>
  <si>
    <t>Cooling Tower:</t>
  </si>
  <si>
    <t>Water Quantity (gpy)</t>
  </si>
  <si>
    <t>Decorative Fountains:</t>
  </si>
  <si>
    <t>On-Site Non-potable Application Demands</t>
  </si>
  <si>
    <t>Make-up Water Requirements</t>
  </si>
  <si>
    <t>Make-up Water Required (gal)</t>
  </si>
  <si>
    <t xml:space="preserve">January </t>
  </si>
  <si>
    <t>Blackwater:</t>
  </si>
  <si>
    <t>Available Unused On-Site Supply</t>
  </si>
  <si>
    <r>
      <t>TOTAL</t>
    </r>
    <r>
      <rPr>
        <b/>
        <i/>
        <vertAlign val="superscript"/>
        <sz val="10"/>
        <rFont val="Arial"/>
        <family val="2"/>
      </rPr>
      <t>1</t>
    </r>
    <r>
      <rPr>
        <b/>
        <i/>
        <sz val="10"/>
        <rFont val="Arial"/>
        <family val="2"/>
      </rPr>
      <t>:</t>
    </r>
  </si>
  <si>
    <r>
      <rPr>
        <i/>
        <vertAlign val="superscript"/>
        <sz val="10"/>
        <rFont val="Arial"/>
        <family val="2"/>
      </rPr>
      <t>1</t>
    </r>
    <r>
      <rPr>
        <i/>
        <sz val="10"/>
        <rFont val="Arial"/>
        <family val="2"/>
      </rPr>
      <t xml:space="preserve"> If there are other sources not listed in the Sources Estimates table, those sources need to be manually included in this summary or other document</t>
    </r>
  </si>
  <si>
    <t>Non-Potable Applications Estimates</t>
  </si>
  <si>
    <t>Compliant with State's Maximum Applied Water Allowance?</t>
  </si>
  <si>
    <t>Quantity (gpy)</t>
  </si>
  <si>
    <t>source</t>
  </si>
  <si>
    <t>1. Project Location and Contact Information</t>
  </si>
  <si>
    <t>4. Additional Site Information</t>
  </si>
  <si>
    <t>Demands Met by Non-Potable Supply for Project</t>
  </si>
  <si>
    <t>Comparison of Supplies to Demands</t>
  </si>
  <si>
    <t>&lt;-- Name of Project</t>
  </si>
  <si>
    <t>&lt;--Address of Project</t>
  </si>
  <si>
    <t>&lt;--Name</t>
  </si>
  <si>
    <t>&lt;--Contact No.</t>
  </si>
  <si>
    <t>&lt;--E-mail Address</t>
  </si>
  <si>
    <t>&lt;--Enter the total daily demand in gallons per day for all indoor decorative water features in the building</t>
  </si>
  <si>
    <t>&lt;--Enter the number of days in a year the decorative water features will be operational</t>
  </si>
  <si>
    <t>&lt;--Typical water use is 17 gals/wash load</t>
  </si>
  <si>
    <t>&lt;--Enter estimated number of loads per day</t>
  </si>
  <si>
    <t>&lt;--Enter estimated daily demand associated with use</t>
  </si>
  <si>
    <t>&lt;--Enter the number of days the demand will be applicable within a year</t>
  </si>
  <si>
    <t xml:space="preserve">&lt;--Enter the number of residential units in the project. </t>
  </si>
  <si>
    <t>&lt;--Enter information here</t>
  </si>
  <si>
    <t>2. Building Information Summary</t>
  </si>
  <si>
    <t>3. Summary of Nonpotable Demands and Supplies for the Project</t>
  </si>
  <si>
    <t>Make-Up Water (gpy)</t>
  </si>
  <si>
    <t>Project Potential Non-Potable Demand (gpy)</t>
  </si>
  <si>
    <t>Project Total Annual Water Demand (gpy)</t>
  </si>
  <si>
    <t>Non-Potable Demands Proposed for Project (gpy)</t>
  </si>
  <si>
    <t>&lt;--Other areas may include roof decks, balconies that are above ground level.</t>
  </si>
  <si>
    <t>&lt;--Other areas may include paved roads or right-of-way, etc.</t>
  </si>
  <si>
    <t>&lt;--Enter turfgrass information here</t>
  </si>
  <si>
    <t>&lt;--Enter landscaped area information here</t>
  </si>
  <si>
    <t>&lt;--Enter green roof information here</t>
  </si>
  <si>
    <t>&lt;--Enter information for other supplies here</t>
  </si>
  <si>
    <t>Default irrigation factors are provided in the cells below; refine default values as appropriate</t>
  </si>
  <si>
    <r>
      <rPr>
        <i/>
        <sz val="11"/>
        <color rgb="FFFF0000"/>
        <rFont val="Calibri"/>
        <family val="2"/>
        <scheme val="minor"/>
      </rPr>
      <t>[Refine as appropriate]</t>
    </r>
    <r>
      <rPr>
        <i/>
        <sz val="11"/>
        <color theme="0" tint="-0.499984740745262"/>
        <rFont val="Calibri"/>
        <family val="2"/>
        <scheme val="minor"/>
      </rPr>
      <t xml:space="preserve"> Cool season grasses = 0.8, Warm season grasses = 0.6</t>
    </r>
  </si>
  <si>
    <r>
      <t xml:space="preserve"> </t>
    </r>
    <r>
      <rPr>
        <i/>
        <sz val="11"/>
        <color rgb="FFFF0000"/>
        <rFont val="Calibri"/>
        <family val="2"/>
        <scheme val="minor"/>
      </rPr>
      <t xml:space="preserve">[Refine as appropriate] </t>
    </r>
    <r>
      <rPr>
        <i/>
        <sz val="11"/>
        <color theme="0" tint="-0.499984740745262"/>
        <rFont val="Calibri"/>
        <family val="2"/>
        <scheme val="minor"/>
      </rPr>
      <t>&lt;0.1 for very low, 0.1-0.3 for low, 0.4-0.6 for medium, 0.7-0.9 for high</t>
    </r>
  </si>
  <si>
    <r>
      <rPr>
        <i/>
        <sz val="11"/>
        <color rgb="FFFF0000"/>
        <rFont val="Calibri"/>
        <family val="2"/>
        <scheme val="minor"/>
      </rPr>
      <t xml:space="preserve"> [Refine as appropriate]</t>
    </r>
    <r>
      <rPr>
        <i/>
        <sz val="11"/>
        <color theme="0" tint="-0.499984740745262"/>
        <rFont val="Calibri"/>
        <family val="2"/>
        <scheme val="minor"/>
      </rPr>
      <t xml:space="preserve"> 0.5-0.9 for low, 1 for average, 1.1-1.3 for high. </t>
    </r>
  </si>
  <si>
    <r>
      <rPr>
        <i/>
        <sz val="11"/>
        <color rgb="FFFF0000"/>
        <rFont val="Calibri"/>
        <family val="2"/>
        <scheme val="minor"/>
      </rPr>
      <t xml:space="preserve"> [Refine as appropriate] </t>
    </r>
    <r>
      <rPr>
        <i/>
        <sz val="11"/>
        <color theme="0" tint="-0.499984740745262"/>
        <rFont val="Calibri"/>
        <family val="2"/>
        <scheme val="minor"/>
      </rPr>
      <t xml:space="preserve">0.5-0.9 for low, 1 for average, 1.1-1.4 for high. </t>
    </r>
  </si>
  <si>
    <r>
      <rPr>
        <i/>
        <sz val="11"/>
        <color rgb="FFFF0000"/>
        <rFont val="Calibri"/>
        <family val="2"/>
        <scheme val="minor"/>
      </rPr>
      <t xml:space="preserve"> [Refine as appropriate] </t>
    </r>
    <r>
      <rPr>
        <i/>
        <sz val="11"/>
        <color theme="0" tint="-0.499984740745262"/>
        <rFont val="Calibri"/>
        <family val="2"/>
        <scheme val="minor"/>
      </rPr>
      <t xml:space="preserve">&lt;0.1 for very low, 0.1-0.3 for low, 0.4-0.6 for medium, 0.7-0.9 for high. </t>
    </r>
  </si>
  <si>
    <r>
      <rPr>
        <i/>
        <sz val="11"/>
        <color rgb="FFFF0000"/>
        <rFont val="Calibri"/>
        <family val="2"/>
        <scheme val="minor"/>
      </rPr>
      <t xml:space="preserve"> [Refine as appropriate]</t>
    </r>
    <r>
      <rPr>
        <i/>
        <sz val="11"/>
        <color theme="0" tint="-0.499984740745262"/>
        <rFont val="Calibri"/>
        <family val="2"/>
        <scheme val="minor"/>
      </rPr>
      <t xml:space="preserve"> 0.5-0.9 for low, 1 for average, 1.1-1.4 for high. </t>
    </r>
  </si>
  <si>
    <r>
      <rPr>
        <i/>
        <sz val="11"/>
        <color rgb="FFFF0000"/>
        <rFont val="Calibri"/>
        <family val="2"/>
        <scheme val="minor"/>
      </rPr>
      <t xml:space="preserve"> [Refine as appropriate]</t>
    </r>
    <r>
      <rPr>
        <i/>
        <sz val="11"/>
        <color theme="0" tint="-0.499984740745262"/>
        <rFont val="Calibri"/>
        <family val="2"/>
        <scheme val="minor"/>
      </rPr>
      <t xml:space="preserve"> &lt;0.1 for very low, 0.1-0.3 for low, 0.4-0.6 for medium, 0.7-0.9 for high. </t>
    </r>
  </si>
  <si>
    <r>
      <rPr>
        <i/>
        <sz val="11"/>
        <color rgb="FFFF0000"/>
        <rFont val="Calibri"/>
        <family val="2"/>
        <scheme val="minor"/>
      </rPr>
      <t xml:space="preserve"> [Refine as appropriate] </t>
    </r>
    <r>
      <rPr>
        <i/>
        <sz val="11"/>
        <color theme="0" tint="-0.499984740745262"/>
        <rFont val="Calibri"/>
        <family val="2"/>
        <scheme val="minor"/>
      </rPr>
      <t xml:space="preserve">0.5-0.9 for low, 1 for average, 1.1-1.3 for high. </t>
    </r>
  </si>
  <si>
    <r>
      <rPr>
        <i/>
        <sz val="11"/>
        <color rgb="FFFF0000"/>
        <rFont val="Calibri"/>
        <family val="2"/>
        <scheme val="minor"/>
      </rPr>
      <t>[Refine as appropriate]</t>
    </r>
    <r>
      <rPr>
        <i/>
        <sz val="11"/>
        <color theme="0" tint="-0.499984740745262"/>
        <rFont val="Calibri"/>
        <family val="2"/>
        <scheme val="minor"/>
      </rPr>
      <t xml:space="preserve">  0.5-0.9 for low, 1 for average, 1.1-1.4 for high. </t>
    </r>
  </si>
  <si>
    <r>
      <rPr>
        <i/>
        <sz val="11"/>
        <color rgb="FFFF0000"/>
        <rFont val="Calibri"/>
        <family val="2"/>
        <scheme val="minor"/>
      </rPr>
      <t xml:space="preserve">[Refine as appropriate] </t>
    </r>
    <r>
      <rPr>
        <i/>
        <sz val="11"/>
        <color theme="0" tint="-0.499984740745262"/>
        <rFont val="Calibri"/>
        <family val="2"/>
        <scheme val="minor"/>
      </rPr>
      <t xml:space="preserve"> Estimated efficiencies are 0.70 to 0.85 for spray, 0.9 for drip, 0.95 for subsurface drip. </t>
    </r>
  </si>
  <si>
    <t>Default Rainwater Supply coefficients are entered below; refine default coefficients as appropriate</t>
  </si>
  <si>
    <r>
      <rPr>
        <i/>
        <sz val="12"/>
        <color rgb="FFFF0000"/>
        <rFont val="Calibri"/>
        <family val="2"/>
        <scheme val="minor"/>
      </rPr>
      <t xml:space="preserve">[Refine as appropriate] </t>
    </r>
    <r>
      <rPr>
        <i/>
        <sz val="12"/>
        <color theme="0" tint="-0.499984740745262"/>
        <rFont val="Calibri"/>
        <family val="2"/>
        <scheme val="minor"/>
      </rPr>
      <t>Conventional roof runoff coefficient = 0.85</t>
    </r>
  </si>
  <si>
    <t>[Refine as appropriate]</t>
  </si>
  <si>
    <t>The table below is an accounting of the total potential onsite supply available; the values do not represent the final supplies that will be used for the project</t>
  </si>
  <si>
    <t>Selected Supply By Month</t>
  </si>
  <si>
    <t>Selected Demand By Month</t>
  </si>
  <si>
    <t>Total Potential Non-Potable Demand</t>
  </si>
  <si>
    <t>% of Project's Total Water Demand Being Offset with On-Site Supplies</t>
  </si>
  <si>
    <t>Irrigation:</t>
  </si>
  <si>
    <r>
      <t>Total</t>
    </r>
    <r>
      <rPr>
        <b/>
        <i/>
        <sz val="10"/>
        <rFont val="Arial"/>
        <family val="2"/>
      </rPr>
      <t>:</t>
    </r>
  </si>
  <si>
    <t>Printable Summary of Building Information, Site Demands, and Site Supplies</t>
  </si>
  <si>
    <t xml:space="preserve">Graywater Supply  
(gpd) </t>
  </si>
  <si>
    <r>
      <t xml:space="preserve">% Graywater Supply Available </t>
    </r>
    <r>
      <rPr>
        <b/>
        <vertAlign val="superscript"/>
        <sz val="11"/>
        <color theme="1"/>
        <rFont val="Calibri"/>
        <family val="2"/>
        <scheme val="minor"/>
      </rPr>
      <t>(1)</t>
    </r>
  </si>
  <si>
    <r>
      <t xml:space="preserve"> % Blackwater Supply Available </t>
    </r>
    <r>
      <rPr>
        <b/>
        <vertAlign val="superscript"/>
        <sz val="11"/>
        <color theme="1"/>
        <rFont val="Calibri"/>
        <family val="2"/>
        <scheme val="minor"/>
      </rPr>
      <t>(1)</t>
    </r>
  </si>
  <si>
    <r>
      <t xml:space="preserve">% Blackwater Supply Available </t>
    </r>
    <r>
      <rPr>
        <b/>
        <vertAlign val="superscript"/>
        <sz val="11"/>
        <color theme="1"/>
        <rFont val="Calibri"/>
        <family val="2"/>
        <scheme val="minor"/>
      </rPr>
      <t>(1)</t>
    </r>
  </si>
  <si>
    <t>Duration</t>
  </si>
  <si>
    <t xml:space="preserve">(1) Applied to 0.5% of FTEs in General Office uses. </t>
  </si>
  <si>
    <t>Building Address</t>
  </si>
  <si>
    <t>Block Lots (APN)</t>
  </si>
  <si>
    <t>Building Name (if applicable)</t>
  </si>
  <si>
    <t>Enter site-specific information for each site involved in project</t>
  </si>
  <si>
    <t>Total:</t>
  </si>
  <si>
    <t>Days of Operation</t>
  </si>
  <si>
    <t>Days per Year</t>
  </si>
  <si>
    <t>USE OF SPACE</t>
  </si>
  <si>
    <t>B. GENERAL BUILDING SITE(S) INFORMATION</t>
  </si>
  <si>
    <t>C. DETAILED BUILDING SITE(S) INFORMATION</t>
  </si>
  <si>
    <t>SITE 1: COMMERCIAL USE BREAKDOWN</t>
  </si>
  <si>
    <t>SITE 1: RESIDENTIAL (For Projects Designated as Mixres or Resident)</t>
  </si>
  <si>
    <t>SITE 1: COVERAGE</t>
  </si>
  <si>
    <t>End Use Options</t>
  </si>
  <si>
    <t>Days of Operation / Year</t>
  </si>
  <si>
    <t>Gross Area</t>
  </si>
  <si>
    <t>Assumed Days of Operation per Month by Space Type</t>
  </si>
  <si>
    <t>Residential Gross Area (square feet)</t>
  </si>
  <si>
    <r>
      <t xml:space="preserve">B. MULTI-FAMILY RESIDENTIAL WATER DEMAND </t>
    </r>
    <r>
      <rPr>
        <sz val="14"/>
        <color theme="1"/>
        <rFont val="Calibri"/>
        <family val="2"/>
        <scheme val="minor"/>
      </rPr>
      <t xml:space="preserve"> (No user input needed - auto-calculated from Step 1 inputs)</t>
    </r>
  </si>
  <si>
    <r>
      <t xml:space="preserve">A. COMMERCIAL WATER DEMAND </t>
    </r>
    <r>
      <rPr>
        <sz val="14"/>
        <color theme="1"/>
        <rFont val="Calibri"/>
        <family val="2"/>
        <scheme val="minor"/>
      </rPr>
      <t>(No user input needed - auto-calculated from Step 1 inputs)</t>
    </r>
  </si>
  <si>
    <t>Residential Component</t>
  </si>
  <si>
    <t>Multi-Family</t>
  </si>
  <si>
    <t>Days of Operation:</t>
  </si>
  <si>
    <t>Average Daily Demand (gal/day)</t>
  </si>
  <si>
    <t>Average Daily Cooling Demand (gpd)</t>
  </si>
  <si>
    <t>Average Monthly Cooling Demand (gal/mth)</t>
  </si>
  <si>
    <t>Annual Total Cooling Demand (gal/year)</t>
  </si>
  <si>
    <t>Other Supplies Options</t>
  </si>
  <si>
    <t>Total Supply</t>
  </si>
  <si>
    <t>Site</t>
  </si>
  <si>
    <t>No Drainage</t>
  </si>
  <si>
    <t>Manual Entry</t>
  </si>
  <si>
    <t>Default Profile</t>
  </si>
  <si>
    <t>Ave. Daily Use</t>
  </si>
  <si>
    <t>Ave. Daily Use Transient</t>
  </si>
  <si>
    <t>Toilet (Water Closet )</t>
  </si>
  <si>
    <t>Low Flow Sprayer</t>
  </si>
  <si>
    <t>Fix. FTE</t>
  </si>
  <si>
    <t>Fix. Transient</t>
  </si>
  <si>
    <t>Tot. Daily Demand (gpd)</t>
  </si>
  <si>
    <t>Tot. Annual Demand (gpy)</t>
  </si>
  <si>
    <t>Total Max Daily Demand (gpd)</t>
  </si>
  <si>
    <t>Total Annual Demand</t>
  </si>
  <si>
    <t>No. of FTEs
(MAX)</t>
  </si>
  <si>
    <t>No. of Transient FTEs (MAX)</t>
  </si>
  <si>
    <t>Annual Graywater Available for Reuse (gpy)</t>
  </si>
  <si>
    <t>Annual Blackwater Supply (gpy)</t>
  </si>
  <si>
    <t>Annual Blackwater Supply Available for Reuse (gpy)</t>
  </si>
  <si>
    <t>Average of each month for the year</t>
  </si>
  <si>
    <t>Site:</t>
  </si>
  <si>
    <t>Annual Demand (gpy)</t>
  </si>
  <si>
    <t>Summary</t>
  </si>
  <si>
    <r>
      <t xml:space="preserve">Showerhead </t>
    </r>
    <r>
      <rPr>
        <vertAlign val="superscript"/>
        <sz val="11"/>
        <rFont val="Calibri"/>
        <family val="2"/>
        <scheme val="minor"/>
      </rPr>
      <t>(1)(2)(7)</t>
    </r>
  </si>
  <si>
    <r>
      <t xml:space="preserve">Lavatory Faucet </t>
    </r>
    <r>
      <rPr>
        <vertAlign val="superscript"/>
        <sz val="11"/>
        <rFont val="Calibri"/>
        <family val="2"/>
        <scheme val="minor"/>
      </rPr>
      <t>(2)</t>
    </r>
  </si>
  <si>
    <r>
      <t xml:space="preserve">Toilet (Water Closet) </t>
    </r>
    <r>
      <rPr>
        <vertAlign val="superscript"/>
        <sz val="11"/>
        <rFont val="Calibri"/>
        <family val="2"/>
        <scheme val="minor"/>
      </rPr>
      <t>(2)(3)</t>
    </r>
  </si>
  <si>
    <r>
      <t xml:space="preserve">Low Flow Sprayer - Restaurants </t>
    </r>
    <r>
      <rPr>
        <vertAlign val="superscript"/>
        <sz val="11"/>
        <rFont val="Calibri"/>
        <family val="2"/>
        <scheme val="minor"/>
      </rPr>
      <t>(5)</t>
    </r>
  </si>
  <si>
    <t>Site 1</t>
  </si>
  <si>
    <t>Site 2</t>
  </si>
  <si>
    <t>Site 3</t>
  </si>
  <si>
    <t>MULTI-FAMILY RESIDENTIAL</t>
  </si>
  <si>
    <t>GPY (Annual Demand)</t>
  </si>
  <si>
    <t>GPD (MAX daily demand)</t>
  </si>
  <si>
    <t>TOTAL:</t>
  </si>
  <si>
    <t>HVAC/Cooling Demand</t>
  </si>
  <si>
    <t>GPD (Average daily demand)</t>
  </si>
  <si>
    <t>Allowable End-Use for NP?</t>
  </si>
  <si>
    <t>Annual Water Demand Possible (gpy)</t>
  </si>
  <si>
    <t>GPD (Average daily demand over 365 days)</t>
  </si>
  <si>
    <t>MAX Ave Daily Supply (gpd)</t>
  </si>
  <si>
    <t>Will NP Supplies be Used?</t>
  </si>
  <si>
    <t>Select</t>
  </si>
  <si>
    <t>LANDSCAPE IRRIGATION (Profile)</t>
  </si>
  <si>
    <t>Will this supply be reused?</t>
  </si>
  <si>
    <t>GPD (MAX daily SUPPLY)</t>
  </si>
  <si>
    <t>GPY (Annual SUPPLY)</t>
  </si>
  <si>
    <t>GPD (AVG. daily SUPPLY)</t>
  </si>
  <si>
    <t>Indoor Fixtures</t>
  </si>
  <si>
    <t>Other Indoor</t>
  </si>
  <si>
    <t>TOTAL ANNUAL Demand (gpy)</t>
  </si>
  <si>
    <t>TOTAL (gal/month):</t>
  </si>
  <si>
    <t>GRAND TOTAL:</t>
  </si>
  <si>
    <t>Estimated project construction completion date (mm/dd/yyyy)</t>
  </si>
  <si>
    <t>Estimated Date of Project Completion (year supplies will be available)
(MM/DD/YYYY)</t>
  </si>
  <si>
    <t>Year Online:</t>
  </si>
  <si>
    <t>Total Building Size 
(gross square footage or GSF):</t>
  </si>
  <si>
    <t>555-555-5555</t>
  </si>
  <si>
    <t>Project / Building Name:</t>
  </si>
  <si>
    <t>Estimated Daily Water Demand (gpd)</t>
  </si>
  <si>
    <t>A. GENERAL INFORMATION: Main Site Information</t>
  </si>
  <si>
    <t>Average Days per Month</t>
  </si>
  <si>
    <t>Is there a Cooling Demand?</t>
  </si>
  <si>
    <t>HVAC / Cooling Demand (gpy)</t>
  </si>
  <si>
    <t>Other Indoor Demands (gpy)</t>
  </si>
  <si>
    <t>Other Outdoor Demands (gpy)</t>
  </si>
  <si>
    <t>Graywater Supplies</t>
  </si>
  <si>
    <t>Blackwater Supplies (includes Graywater)</t>
  </si>
  <si>
    <t>Other Supplies (gpy)</t>
  </si>
  <si>
    <t>Other Supplies</t>
  </si>
  <si>
    <t>MAX Other Supplies (gpd)</t>
  </si>
  <si>
    <t>Total Other Supply (gpy)</t>
  </si>
  <si>
    <t>Will Graywater or Blackwater supply be reused?</t>
  </si>
  <si>
    <t>GW or BW Supply?</t>
  </si>
  <si>
    <t>Neither</t>
  </si>
  <si>
    <t>Other Demands</t>
  </si>
  <si>
    <t>ANNUAL TOTAL</t>
  </si>
  <si>
    <t>GRAYWATER SUPPLIES</t>
  </si>
  <si>
    <t>BLACKWATER SUPPLIES</t>
  </si>
  <si>
    <t>TOTAL SITE GRAYWATER</t>
  </si>
  <si>
    <t>TOTAL SITE BLACKWATER</t>
  </si>
  <si>
    <t>1. Demands and Supplies Summary</t>
  </si>
  <si>
    <t>Demands Met by Non-Potable Supply for Project (gpy):</t>
  </si>
  <si>
    <t>Building Use (See Table 1 below for reference)</t>
  </si>
  <si>
    <r>
      <t>A. COMMERCIAL</t>
    </r>
    <r>
      <rPr>
        <sz val="14"/>
        <color theme="1"/>
        <rFont val="Calibri"/>
        <family val="2"/>
        <scheme val="minor"/>
      </rPr>
      <t xml:space="preserve"> (No user input needed - auto-calculated from Step 2)</t>
    </r>
  </si>
  <si>
    <r>
      <t xml:space="preserve">B. MULTI-FAMILY RESIDENTIAL </t>
    </r>
    <r>
      <rPr>
        <sz val="14"/>
        <color theme="1"/>
        <rFont val="Calibri"/>
        <family val="2"/>
        <scheme val="minor"/>
      </rPr>
      <t>(No user input needed - auto-calculated from Step 2)</t>
    </r>
  </si>
  <si>
    <r>
      <t xml:space="preserve">C. COOLING TOWER DISCHARGE </t>
    </r>
    <r>
      <rPr>
        <sz val="14"/>
        <color theme="1"/>
        <rFont val="Calibri"/>
        <family val="2"/>
        <scheme val="minor"/>
      </rPr>
      <t>(No user input needed - auto-calculated from Step 2)</t>
    </r>
  </si>
  <si>
    <t>Blackwater Supply 
(gpd)</t>
  </si>
  <si>
    <t>Blackwater Available for Reuse (gpd)</t>
  </si>
  <si>
    <t>Average of each month's daily value for the year</t>
  </si>
  <si>
    <t>Demand Summary</t>
  </si>
  <si>
    <t>Supply Summary</t>
  </si>
  <si>
    <t>This calculator is laid out in eight (8) worksheets. The worksheets are summarized below:</t>
  </si>
  <si>
    <t>1. Building Information</t>
  </si>
  <si>
    <t>2. Indoor Water Demand</t>
  </si>
  <si>
    <t>4. Outdoor Water Demand</t>
  </si>
  <si>
    <t>6. Building Potential Summary</t>
  </si>
  <si>
    <t>7. Project Definition</t>
  </si>
  <si>
    <t>8. Printable Project Summary</t>
  </si>
  <si>
    <t>&lt;--Enter estimated number of days in a year that laundry facilities will be used</t>
  </si>
  <si>
    <t>info@developer.com</t>
  </si>
  <si>
    <r>
      <t>Impervious Surface Above Grade (ft</t>
    </r>
    <r>
      <rPr>
        <b/>
        <i/>
        <vertAlign val="superscript"/>
        <sz val="10"/>
        <rFont val="Arial"/>
        <family val="2"/>
      </rPr>
      <t>2</t>
    </r>
    <r>
      <rPr>
        <b/>
        <i/>
        <sz val="10"/>
        <rFont val="Arial"/>
        <family val="2"/>
      </rPr>
      <t>):</t>
    </r>
  </si>
  <si>
    <r>
      <t>Landscaped Area (ft</t>
    </r>
    <r>
      <rPr>
        <b/>
        <i/>
        <vertAlign val="superscript"/>
        <sz val="10"/>
        <rFont val="Arial"/>
        <family val="2"/>
      </rPr>
      <t>2</t>
    </r>
    <r>
      <rPr>
        <b/>
        <i/>
        <sz val="10"/>
        <rFont val="Arial"/>
        <family val="2"/>
      </rPr>
      <t>):</t>
    </r>
  </si>
  <si>
    <t>Make-Up Water (Difference between Potential NP Demand and either Selected NP Demand or Available NP Supply)</t>
  </si>
  <si>
    <t>NP Demand that is Offset by NP Supplies</t>
  </si>
  <si>
    <t>Non-Potable Demands Met Based on Month-by-Month Analysis (gpy)</t>
  </si>
  <si>
    <t>Sel. Demand</t>
  </si>
  <si>
    <t>Make-Up</t>
  </si>
  <si>
    <t>Unused Supply</t>
  </si>
  <si>
    <t>NP Demand Met</t>
  </si>
  <si>
    <t>Rainfall Event Captured (in.)</t>
  </si>
  <si>
    <t xml:space="preserve">IMPORTANT: Cooling discharge is not an approved non-potable supply and requires a variance for re-use </t>
  </si>
  <si>
    <r>
      <rPr>
        <b/>
        <sz val="11"/>
        <color rgb="FFFF0000"/>
        <rFont val="Calibri"/>
        <family val="2"/>
        <scheme val="minor"/>
      </rPr>
      <t>IMPORTANT</t>
    </r>
    <r>
      <rPr>
        <sz val="11"/>
        <color rgb="FFFF0000"/>
        <rFont val="Calibri"/>
        <family val="2"/>
        <scheme val="minor"/>
      </rPr>
      <t xml:space="preserve">: Cooling discharge is not an approved non-potable supply and requires a variance for re-use </t>
    </r>
  </si>
  <si>
    <t>Annual Total (gpy)</t>
  </si>
  <si>
    <t>Selected Non-Potable Supplies to be Used</t>
  </si>
  <si>
    <t>Will this non-potable supply be used?</t>
  </si>
  <si>
    <t>Monthly Cooling Demand</t>
  </si>
  <si>
    <t>Site 1 Monthly Supplies (gal/mo):</t>
  </si>
  <si>
    <t>Site 1 Average Daily Supply (gpd):</t>
  </si>
  <si>
    <t>Total Average Daily Supply (gpd)</t>
  </si>
  <si>
    <t>Estimated Monthly Cooling Tower Demand (gal/mo)</t>
  </si>
  <si>
    <t>Cooling Tower Supply Summary</t>
  </si>
  <si>
    <t>Swimming Pool &amp; Other Supplies</t>
  </si>
  <si>
    <t>Cooling &amp; Other Supplies</t>
  </si>
  <si>
    <t>SELECTED SUPPY TOTAL</t>
  </si>
  <si>
    <t>Indoor Commercial Supply Total</t>
  </si>
  <si>
    <t>Cooling &amp; Other Supplies Total</t>
  </si>
  <si>
    <t>Indoor Multi-Family Residential Total</t>
  </si>
  <si>
    <t>Graywater Supply</t>
  </si>
  <si>
    <t>Blackwater Supply</t>
  </si>
  <si>
    <t>Ave. Daily Non-Potable Supply (gpd)</t>
  </si>
  <si>
    <t>Annual Non-Potable Supply (gpy)</t>
  </si>
  <si>
    <t>Note: Foundation Drainage, Rainwater, and Stormwater supplies are selected below</t>
  </si>
  <si>
    <t>Online Yr.</t>
  </si>
  <si>
    <t>Site Order</t>
  </si>
  <si>
    <t>Selected Supply by Month</t>
  </si>
  <si>
    <t>Selected Demand by Month</t>
  </si>
  <si>
    <t>Site Orders 1+2</t>
  </si>
  <si>
    <t>Site Orders 1+2+3</t>
  </si>
  <si>
    <t>When the first two buildings are online simultaneously-&gt;</t>
  </si>
  <si>
    <t>When all buildings are online operating simultaneously --&gt;</t>
  </si>
  <si>
    <t>Rank / Order</t>
  </si>
  <si>
    <t>NP Offset Month-Based</t>
  </si>
  <si>
    <t>NP Offset Annual-Based</t>
  </si>
  <si>
    <t>SITE</t>
  </si>
  <si>
    <t>YEAR</t>
  </si>
  <si>
    <t>Site Alone</t>
  </si>
  <si>
    <t>NP Offset - Annual 
(assume storage)</t>
  </si>
  <si>
    <t>NP Offset - Month-based sum</t>
  </si>
  <si>
    <t>First two online sites</t>
  </si>
  <si>
    <t>Combined Sites</t>
  </si>
  <si>
    <t>Note</t>
  </si>
  <si>
    <t>All three online sites (if there are 3 sites)</t>
  </si>
  <si>
    <t>Runoff to Cistern:</t>
  </si>
  <si>
    <t>Area x Avg. Runoff Coeff. X (Rainfall/12) x 7.48 (gal conversion)</t>
  </si>
  <si>
    <t>Water Captured:</t>
  </si>
  <si>
    <t>Applied:</t>
  </si>
  <si>
    <t>Runoff x Storm Percentile</t>
  </si>
  <si>
    <t>If ( [Demand &gt; Applied], Applied, [This Cistern - Previous Cistern + Demand])</t>
  </si>
  <si>
    <t>Water Reused:</t>
  </si>
  <si>
    <t>If ( [Applied + Prev. Cistern]&gt;Demand, Demand, [Applied + Prev. Cistern])</t>
  </si>
  <si>
    <t>Overflow:</t>
  </si>
  <si>
    <t>End Cistern:</t>
  </si>
  <si>
    <t>If (Net &lt; 0, 0, If(Net &gt; Cistern Volume, Cistern Volume, Net))</t>
  </si>
  <si>
    <t>Net Available:</t>
  </si>
  <si>
    <t>Previous Cistern + Applied - Demand</t>
  </si>
  <si>
    <t>If ([Runoff &gt; Demand], [Runoff - Demand - (This Cistern - Previous Cistern)],0)</t>
  </si>
  <si>
    <t>Manual Entry Selection</t>
  </si>
  <si>
    <t>None</t>
  </si>
  <si>
    <t>FINAL Indoor Demands - 
Commercial</t>
  </si>
  <si>
    <t>FINAL Indoor Demands - 
Multi-Family Residential</t>
  </si>
  <si>
    <t xml:space="preserve">FINAL Cooling Demands </t>
  </si>
  <si>
    <t>Make-Up Water</t>
  </si>
  <si>
    <t>(gpy)</t>
  </si>
  <si>
    <t>Annual 
Make-Up</t>
  </si>
  <si>
    <t>C. MAKE-UP WATER SUMMARY BASED ON SELECTED SUPPLIES, DEMANDS, AND POTENTIAL NON-POTABLE OFFSET</t>
  </si>
  <si>
    <t>Ave Daily Supply</t>
  </si>
  <si>
    <t>For MANUAL ENTRY of  HVAC demand, enter information here (gal/mo):</t>
  </si>
  <si>
    <t>IF MANUALLY ENTERING Monthly Irrigation Data, Enter Here</t>
  </si>
  <si>
    <t>Total Gal/Mo
(Calculated Irrigation)</t>
  </si>
  <si>
    <t>Total Gal/Mo
(Manual Entry)</t>
  </si>
  <si>
    <t xml:space="preserve">FINAL Landscape Demands </t>
  </si>
  <si>
    <t xml:space="preserve">FINAL Other Outdoor Demands </t>
  </si>
  <si>
    <t xml:space="preserve">FINAL Other Indoor Demands </t>
  </si>
  <si>
    <t xml:space="preserve">FINAL Indoor Commercial Supplies (U-T-K-R) </t>
  </si>
  <si>
    <t xml:space="preserve">FINAL Indoor Commercial Supplies (S-L-C) </t>
  </si>
  <si>
    <t xml:space="preserve">FINAL Indoor MFR Supplies (S-B-B-W) </t>
  </si>
  <si>
    <t xml:space="preserve">FINAL Indoor MFR Supplies (T-K-D) </t>
  </si>
  <si>
    <t>(1) Default treatment recovery rate: 15%</t>
  </si>
  <si>
    <r>
      <t xml:space="preserve">If Using Manual Entry to Override Pool &amp; Other Supplies,  Select "Manual Entry" and 
</t>
    </r>
    <r>
      <rPr>
        <b/>
        <i/>
        <u/>
        <sz val="11"/>
        <rFont val="Calibri"/>
        <family val="2"/>
        <scheme val="minor"/>
      </rPr>
      <t>Enter Demands BY MONTH for each site</t>
    </r>
    <r>
      <rPr>
        <i/>
        <sz val="11"/>
        <rFont val="Calibri"/>
        <family val="2"/>
        <scheme val="minor"/>
      </rPr>
      <t>(gal/mo)</t>
    </r>
  </si>
  <si>
    <t>Final Other Supplies</t>
  </si>
  <si>
    <t>FINAL Cooling Supplies</t>
  </si>
  <si>
    <t>RAINWATER CAPTURED (Calculator Results)</t>
  </si>
  <si>
    <t>RAINWATER SUPPLY based on MANUAL INPUT</t>
  </si>
  <si>
    <t>Decorative Water Feature, Laundry &amp; Other Outdoor</t>
  </si>
  <si>
    <t>TOTAL SELECTED SUPPLIES</t>
  </si>
  <si>
    <t>SELECTED DEMANDS GRAND TOTAL</t>
  </si>
  <si>
    <t>If total on-site supplies are greater than annual demands, this value represents the annual demand, otherwise, the non-potable supplies.</t>
  </si>
  <si>
    <t>GPY</t>
  </si>
  <si>
    <t>DEMAND SUMMARY BY SITE</t>
  </si>
  <si>
    <t>Total (gal/mo):</t>
  </si>
  <si>
    <t>TOTAL (gal/mo)</t>
  </si>
  <si>
    <t>Please enter monthly HVAC/Cooling Demands for each site (gal/mo.)</t>
  </si>
  <si>
    <t>C. HVAC/COOLING DEMAND</t>
  </si>
  <si>
    <r>
      <t>For MANUAL ENTRY of  HVAC Supply, enter information here (gal/mo)</t>
    </r>
    <r>
      <rPr>
        <b/>
        <vertAlign val="superscript"/>
        <sz val="11"/>
        <color theme="0"/>
        <rFont val="Calibri"/>
        <family val="2"/>
        <scheme val="minor"/>
      </rPr>
      <t>(3)</t>
    </r>
    <r>
      <rPr>
        <b/>
        <sz val="11"/>
        <color theme="0"/>
        <rFont val="Calibri"/>
        <family val="2"/>
        <scheme val="minor"/>
      </rPr>
      <t>:</t>
    </r>
  </si>
  <si>
    <r>
      <t>Total HVAC Supply based on MANUAL ENTRY of  HVAC supply(gal/mo)</t>
    </r>
    <r>
      <rPr>
        <b/>
        <vertAlign val="superscript"/>
        <sz val="11"/>
        <color theme="0"/>
        <rFont val="Calibri"/>
        <family val="2"/>
        <scheme val="minor"/>
      </rPr>
      <t>(3)</t>
    </r>
    <r>
      <rPr>
        <b/>
        <sz val="11"/>
        <color theme="0"/>
        <rFont val="Calibri"/>
        <family val="2"/>
        <scheme val="minor"/>
      </rPr>
      <t>:</t>
    </r>
  </si>
  <si>
    <t>TOTAL HVAC Supplies based on Treatment Recovery (gal/mo)</t>
  </si>
  <si>
    <t xml:space="preserve">Cooling Tower Supply (based on Treatment Recovery Rate) </t>
  </si>
  <si>
    <t>Cooling Tower Supply (based on manual entry)</t>
  </si>
  <si>
    <t>GPY (Annual SUPPLY) by Calculator Assumptions</t>
  </si>
  <si>
    <t>If manually entering Annual Demand for Urinals and Toilet Water, enter here (gpy):</t>
  </si>
  <si>
    <t>If manually entering Annual Demand for Toilet Water, enter here (gpy):</t>
  </si>
  <si>
    <t>If Manually Entering Annual Demands for all Other Indoor Demands, enter here (gpy):</t>
  </si>
  <si>
    <t>Manual Override Values (gpy)</t>
  </si>
  <si>
    <t>Commercial Urinal &amp; Toilet</t>
  </si>
  <si>
    <t>MFR Toilet</t>
  </si>
  <si>
    <t>GPY (Annual Demand) based on Calculator</t>
  </si>
  <si>
    <t xml:space="preserve">Total Graywater Supply  
(gpd) </t>
  </si>
  <si>
    <t>Manually Entered annual showerhead, faucet and laundry graywater supply available for reuse, from Graywater Supplies table (gpy):</t>
  </si>
  <si>
    <t>Total Manually Entered Blackwater Supplies available for  reuse (gpy):</t>
  </si>
  <si>
    <t>Manually Entered annual showerhead, faucet, bath and washing machine graywater supply available for reuse, from Graywater Supplies table (gpy):</t>
  </si>
  <si>
    <t>Please specify other supplies that are available onsite.</t>
  </si>
  <si>
    <t>Manual Entry (gpy)</t>
  </si>
  <si>
    <t>TOTAL CALCULATED RAINWATER SUPPLY</t>
  </si>
  <si>
    <t>TOTAL MANUALLY ENTERED RAINWATER SUPPLY</t>
  </si>
  <si>
    <t>Monthly Demand (Gal/Month) via NP Calculator</t>
  </si>
  <si>
    <t>Foundation Drainage Meth.</t>
  </si>
  <si>
    <t>Use Auto-Calculations</t>
  </si>
  <si>
    <t>3. Indoor Non-Potable Supply</t>
  </si>
  <si>
    <t>5. Outdoor Non-Potable Supply</t>
  </si>
  <si>
    <t>District Scale Calculator Version</t>
  </si>
  <si>
    <t>Date</t>
  </si>
  <si>
    <t>Monthly cooling demand values are based on values in the 2. Indoor Water Demand sheet.</t>
  </si>
  <si>
    <t>Manually entered values that exceed the auto-calculated values, and therefore exceed allowed water use demand (per landscaping ordinance), will be flagged by having the cell turn red. These values should be reassessed in order to comply with irrigation ordinances.</t>
  </si>
  <si>
    <t>TOTAL*</t>
  </si>
  <si>
    <t>*Annual and monthly totals excludes graywater supplies because graywater supplies are a subset of the included annual blackwater supply volume</t>
  </si>
  <si>
    <r>
      <rPr>
        <b/>
        <sz val="11"/>
        <rFont val="Calibri"/>
        <family val="2"/>
        <scheme val="minor"/>
      </rPr>
      <t>REMINDER</t>
    </r>
    <r>
      <rPr>
        <sz val="11"/>
        <rFont val="Calibri"/>
        <family val="2"/>
        <scheme val="minor"/>
      </rPr>
      <t xml:space="preserve">: This calculator is </t>
    </r>
    <r>
      <rPr>
        <b/>
        <sz val="14"/>
        <color rgb="FFFF0000"/>
        <rFont val="Calibri"/>
        <family val="2"/>
        <scheme val="minor"/>
      </rPr>
      <t>NOT A DESIGN TOOL or OPTIMIZATION TOOL</t>
    </r>
  </si>
  <si>
    <t>A1. Indoor Demands - Commercial</t>
  </si>
  <si>
    <t>A2. Indoor Demands - Multi-Family Residential</t>
  </si>
  <si>
    <t>A3. HVAC/Cooling Demand</t>
  </si>
  <si>
    <t>A4. Other Indoor Demands</t>
  </si>
  <si>
    <t>A5. Outdoor Landscape Irrigation Demands</t>
  </si>
  <si>
    <t>A6. Outdoor Other Demands</t>
  </si>
  <si>
    <t>B1. Indoor Supplies - Commercial</t>
  </si>
  <si>
    <t>B2. Indoor Supplies - Multi-Family Residential</t>
  </si>
  <si>
    <t>B3. HVAC/Cooling Supplies</t>
  </si>
  <si>
    <t>B4. Other Supplies</t>
  </si>
  <si>
    <r>
      <rPr>
        <b/>
        <i/>
        <sz val="11"/>
        <color rgb="FFFF0000"/>
        <rFont val="Calibri"/>
        <family val="2"/>
        <scheme val="minor"/>
      </rPr>
      <t>SELECT</t>
    </r>
    <r>
      <rPr>
        <b/>
        <i/>
        <sz val="11"/>
        <rFont val="Calibri"/>
        <family val="2"/>
        <scheme val="minor"/>
      </rPr>
      <t>: Site 1</t>
    </r>
    <r>
      <rPr>
        <i/>
        <sz val="11"/>
        <rFont val="Calibri"/>
        <family val="2"/>
        <scheme val="minor"/>
      </rPr>
      <t xml:space="preserve"> Other Supplies Manual Entry
</t>
    </r>
    <r>
      <rPr>
        <b/>
        <i/>
        <u/>
        <sz val="11"/>
        <rFont val="Calibri"/>
        <family val="2"/>
        <scheme val="minor"/>
      </rPr>
      <t xml:space="preserve">Enter Supplies BY MONTH </t>
    </r>
    <r>
      <rPr>
        <i/>
        <sz val="11"/>
        <rFont val="Calibri"/>
        <family val="2"/>
        <scheme val="minor"/>
      </rPr>
      <t>(gal/mo)</t>
    </r>
  </si>
  <si>
    <r>
      <rPr>
        <b/>
        <i/>
        <u/>
        <sz val="11"/>
        <color rgb="FFFF0000"/>
        <rFont val="Calibri"/>
        <family val="2"/>
        <scheme val="minor"/>
      </rPr>
      <t>SELECT</t>
    </r>
    <r>
      <rPr>
        <i/>
        <sz val="11"/>
        <rFont val="Calibri"/>
        <family val="2"/>
        <scheme val="minor"/>
      </rPr>
      <t>: If Using Manual Entry for Overriding Cooling Supplies,  Select "Manual Entry" to Reference Sheet 3</t>
    </r>
  </si>
  <si>
    <r>
      <rPr>
        <b/>
        <i/>
        <u/>
        <sz val="11"/>
        <color rgb="FFFF0000"/>
        <rFont val="Calibri"/>
        <family val="2"/>
        <scheme val="minor"/>
      </rPr>
      <t>SELECT</t>
    </r>
    <r>
      <rPr>
        <i/>
        <sz val="11"/>
        <rFont val="Calibri"/>
        <family val="2"/>
        <scheme val="minor"/>
      </rPr>
      <t>: If Using Manual Entry for Indoor Supplies MFR(Toilet-Kitchen-Dishwasher Supplies),  Select "Manual Entry" and Enter  Annual Demand</t>
    </r>
  </si>
  <si>
    <r>
      <rPr>
        <b/>
        <i/>
        <u/>
        <sz val="11"/>
        <color rgb="FFFF0000"/>
        <rFont val="Calibri"/>
        <family val="2"/>
        <scheme val="minor"/>
      </rPr>
      <t>SELECT</t>
    </r>
    <r>
      <rPr>
        <i/>
        <sz val="11"/>
        <rFont val="Calibri"/>
        <family val="2"/>
        <scheme val="minor"/>
      </rPr>
      <t>: If Using Manual Entry for Indoor Supplies MFR(Shower-Bathroom-Bath-Washing Machine Supplies),  Select "Manual Entry" and Enter  Annual Demand</t>
    </r>
  </si>
  <si>
    <r>
      <rPr>
        <b/>
        <i/>
        <u/>
        <sz val="11"/>
        <color rgb="FFFF0000"/>
        <rFont val="Calibri"/>
        <family val="2"/>
        <scheme val="minor"/>
      </rPr>
      <t>SELECT</t>
    </r>
    <r>
      <rPr>
        <i/>
        <sz val="11"/>
        <rFont val="Calibri"/>
        <family val="2"/>
        <scheme val="minor"/>
      </rPr>
      <t>: If Using Manual Entry for Other Indoor Supplies Commercial (Urinal-Toilet-Faucet-Restaurant Supplies),  Select "Manual Entry" and Enter  Annual Demand</t>
    </r>
  </si>
  <si>
    <r>
      <rPr>
        <b/>
        <i/>
        <u/>
        <sz val="11"/>
        <color rgb="FFFF0000"/>
        <rFont val="Calibri"/>
        <family val="2"/>
        <scheme val="minor"/>
      </rPr>
      <t>SELECT</t>
    </r>
    <r>
      <rPr>
        <i/>
        <sz val="11"/>
        <rFont val="Calibri"/>
        <family val="2"/>
        <scheme val="minor"/>
      </rPr>
      <t>: If Using Manual Entry for Indoor Supplies Commercial (Shower-Faucet-Laundry Supplies),  Select "Manual Entry" and Enter  Annual Demand</t>
    </r>
  </si>
  <si>
    <r>
      <rPr>
        <b/>
        <i/>
        <u/>
        <sz val="11"/>
        <color rgb="FFFF0000"/>
        <rFont val="Calibri"/>
        <family val="2"/>
        <scheme val="minor"/>
      </rPr>
      <t>SELECT</t>
    </r>
    <r>
      <rPr>
        <i/>
        <sz val="11"/>
        <rFont val="Calibri"/>
        <family val="2"/>
        <scheme val="minor"/>
      </rPr>
      <t>: If Using Manual Entry for Other Outdoor Demands,  Select "Manual Entry" and Enter  Annual Demand</t>
    </r>
  </si>
  <si>
    <r>
      <rPr>
        <b/>
        <i/>
        <u/>
        <sz val="11"/>
        <color rgb="FFFF0000"/>
        <rFont val="Calibri"/>
        <family val="2"/>
        <scheme val="minor"/>
      </rPr>
      <t>SELECT</t>
    </r>
    <r>
      <rPr>
        <i/>
        <sz val="11"/>
        <rFont val="Calibri"/>
        <family val="2"/>
        <scheme val="minor"/>
      </rPr>
      <t>: If Using Manual Entry for Irrigation Demands,  Select "Manual Entry" to Reference Sheet 4</t>
    </r>
  </si>
  <si>
    <r>
      <rPr>
        <b/>
        <i/>
        <u/>
        <sz val="11"/>
        <color rgb="FFFF0000"/>
        <rFont val="Calibri"/>
        <family val="2"/>
        <scheme val="minor"/>
      </rPr>
      <t>SELECT</t>
    </r>
    <r>
      <rPr>
        <i/>
        <sz val="11"/>
        <rFont val="Calibri"/>
        <family val="2"/>
        <scheme val="minor"/>
      </rPr>
      <t>: If Using Manual Entry for Other Indoor Demands,  Select "Manual Entry" and Enter  Annual Demand</t>
    </r>
  </si>
  <si>
    <r>
      <rPr>
        <b/>
        <i/>
        <u/>
        <sz val="11"/>
        <color rgb="FFFF0000"/>
        <rFont val="Calibri"/>
        <family val="2"/>
        <scheme val="minor"/>
      </rPr>
      <t>SELECT</t>
    </r>
    <r>
      <rPr>
        <i/>
        <sz val="11"/>
        <rFont val="Calibri"/>
        <family val="2"/>
        <scheme val="minor"/>
      </rPr>
      <t>: If Using Manual Entry for Indoor MFR Demands,  Select "Manual Entry" and Enter  Annual Demand</t>
    </r>
  </si>
  <si>
    <r>
      <rPr>
        <b/>
        <i/>
        <u/>
        <sz val="11"/>
        <color rgb="FFFF0000"/>
        <rFont val="Calibri"/>
        <family val="2"/>
        <scheme val="minor"/>
      </rPr>
      <t>SELECT</t>
    </r>
    <r>
      <rPr>
        <i/>
        <sz val="11"/>
        <rFont val="Calibri"/>
        <family val="2"/>
        <scheme val="minor"/>
      </rPr>
      <t>: If Using Manual Entry for Indoor Commercial Demands,  Select "Manual Entry" and Enter  Annual Demand</t>
    </r>
  </si>
  <si>
    <t>"Use Auto-Calculations" Mode</t>
  </si>
  <si>
    <t>Select "Use Auto-Calculations" or "Manual Entry" to decide which volumes will be used in the final offset analysis.</t>
  </si>
  <si>
    <t>"Manual Entry" Mode</t>
  </si>
  <si>
    <t>General Recommendations for Users</t>
  </si>
  <si>
    <t>If Using Manual Entry for Overriding Rainwater Supplies,  Select "Manual Entry" to Reference Tab 5</t>
  </si>
  <si>
    <r>
      <t>Total Lot Size (ft</t>
    </r>
    <r>
      <rPr>
        <b/>
        <vertAlign val="superscript"/>
        <sz val="11"/>
        <color theme="0"/>
        <rFont val="Calibri"/>
        <family val="2"/>
        <scheme val="minor"/>
      </rPr>
      <t>2</t>
    </r>
    <r>
      <rPr>
        <b/>
        <sz val="11"/>
        <color theme="0"/>
        <rFont val="Calibri"/>
        <family val="2"/>
        <scheme val="minor"/>
      </rPr>
      <t>)</t>
    </r>
  </si>
  <si>
    <t>gpy: gallons per year</t>
  </si>
  <si>
    <r>
      <t>IF MANUALLY ENTERING Monthly Rainwater Supply, Enter Here</t>
    </r>
    <r>
      <rPr>
        <b/>
        <vertAlign val="superscript"/>
        <sz val="11"/>
        <color theme="0"/>
        <rFont val="Calibri"/>
        <family val="2"/>
        <scheme val="minor"/>
      </rPr>
      <t>(2)</t>
    </r>
  </si>
  <si>
    <r>
      <t>Total Rainwater Supply</t>
    </r>
    <r>
      <rPr>
        <b/>
        <vertAlign val="superscript"/>
        <sz val="11"/>
        <color theme="0"/>
        <rFont val="Calibri"/>
        <family val="2"/>
        <scheme val="minor"/>
      </rPr>
      <t>(1)</t>
    </r>
  </si>
  <si>
    <t>(1) Estimated rainwater supply may differ significantly from actual available supply depending on the design and distribution of the rainwater system. It is highly recommended the user calculates and inputs their own monthly supply estimates.</t>
  </si>
  <si>
    <r>
      <t>Demands Met by Non-Potable Supply for Project</t>
    </r>
    <r>
      <rPr>
        <b/>
        <i/>
        <sz val="10"/>
        <color rgb="FFFF0000"/>
        <rFont val="Arial"/>
        <family val="2"/>
      </rPr>
      <t>*</t>
    </r>
    <r>
      <rPr>
        <b/>
        <i/>
        <sz val="10"/>
        <rFont val="Arial"/>
        <family val="2"/>
      </rPr>
      <t>:</t>
    </r>
  </si>
  <si>
    <r>
      <t>Project Total Annual Water Demand (gpy)</t>
    </r>
    <r>
      <rPr>
        <b/>
        <i/>
        <sz val="10"/>
        <color rgb="FFFF0000"/>
        <rFont val="Arial"/>
        <family val="2"/>
      </rPr>
      <t>*</t>
    </r>
    <r>
      <rPr>
        <b/>
        <i/>
        <sz val="10"/>
        <rFont val="Arial"/>
        <family val="2"/>
      </rPr>
      <t>:</t>
    </r>
  </si>
  <si>
    <t>Commercial Laundry &amp; Other</t>
  </si>
  <si>
    <t>Introduction to the Single Site Non-Potable Water Calculator</t>
  </si>
  <si>
    <t>4. Project Summary</t>
  </si>
  <si>
    <t>Demands Met by Non-Potable Supply for Projects (gpy):</t>
  </si>
  <si>
    <t>Total Water Demand Offset:</t>
  </si>
  <si>
    <t>Total Water Demand (gpy):</t>
  </si>
  <si>
    <t>Total Gal/Mo
(Calculated Supply)</t>
  </si>
  <si>
    <t>Site Information:</t>
  </si>
  <si>
    <t>Site Annual Supply
(gpy)</t>
  </si>
  <si>
    <t>Site Supply Available for Reuse
(gpy)</t>
  </si>
  <si>
    <r>
      <rPr>
        <b/>
        <i/>
        <u/>
        <sz val="10"/>
        <color rgb="FFFF0000"/>
        <rFont val="Arial"/>
        <family val="2"/>
      </rPr>
      <t>MANUAL ENTRY</t>
    </r>
    <r>
      <rPr>
        <b/>
        <sz val="10"/>
        <color rgb="FFFF0000"/>
        <rFont val="Arial"/>
        <family val="2"/>
      </rPr>
      <t xml:space="preserve"> </t>
    </r>
    <r>
      <rPr>
        <b/>
        <sz val="10"/>
        <rFont val="Arial"/>
        <family val="2"/>
      </rPr>
      <t>Monthly Demand (Gal/Month) via NP Calculator</t>
    </r>
  </si>
  <si>
    <t>J.D. Smith</t>
  </si>
  <si>
    <t>User Actions*</t>
  </si>
  <si>
    <t>Enter landscape irrigation demand factors and other outdoor demands</t>
  </si>
  <si>
    <t>No action needed; results are developed based on inputs in other tabs</t>
  </si>
  <si>
    <t>The following cell color-coding format is used to direct the user as to how a cell functions and where the user can or should enter data. This legend is provided at the top of each tab.</t>
  </si>
  <si>
    <t>CELL LEGEND:</t>
  </si>
  <si>
    <t>Cell Type</t>
  </si>
  <si>
    <t>Cell Color</t>
  </si>
  <si>
    <t>NO ACTION: Blue-colored cells are generally linked to user inputs in another cell</t>
  </si>
  <si>
    <t>NO ACTION: Light grey-colored cells typically contain default values/assumptions.</t>
  </si>
  <si>
    <t>Inactive Values</t>
  </si>
  <si>
    <r>
      <t xml:space="preserve">This tab includes general project information, building use description, site coverage and project location. 
Please fill in all user input fields in Sections A, B, C and D of this page before proceeding to the next page. 
Instructions for user input for each section are noted below in </t>
    </r>
    <r>
      <rPr>
        <b/>
        <i/>
        <sz val="11"/>
        <color rgb="FFFF0000"/>
        <rFont val="Calibri"/>
        <family val="2"/>
        <scheme val="minor"/>
      </rPr>
      <t>red italics</t>
    </r>
    <r>
      <rPr>
        <sz val="11"/>
        <rFont val="Calibri"/>
        <family val="2"/>
        <scheme val="minor"/>
      </rPr>
      <t>.</t>
    </r>
  </si>
  <si>
    <t>If manual entries are to be used, the user must provide inputs here and then select the "Manual Entry" option to be used in Tab 7 in order to override the automatically calculated values.</t>
  </si>
  <si>
    <t>Other supplies may require a variance for re-use.</t>
  </si>
  <si>
    <r>
      <t xml:space="preserve">This Tab defines the Project's non-potable demands and identifies the types of supplies available to meet these demands. </t>
    </r>
    <r>
      <rPr>
        <b/>
        <sz val="11"/>
        <color rgb="FFFF0000"/>
        <rFont val="Calibri"/>
        <family val="2"/>
        <scheme val="minor"/>
      </rPr>
      <t>User input is required in Sections A and B.</t>
    </r>
  </si>
  <si>
    <r>
      <rPr>
        <b/>
        <sz val="11"/>
        <color rgb="FFFF0000"/>
        <rFont val="Calibri"/>
        <family val="2"/>
        <scheme val="minor"/>
      </rPr>
      <t>Manual Entry for Other Supplies</t>
    </r>
    <r>
      <rPr>
        <sz val="11"/>
        <color rgb="FFFF0000"/>
        <rFont val="Calibri"/>
        <family val="2"/>
        <scheme val="minor"/>
      </rPr>
      <t>: Individual rows have been provided for each site (rows 105 to 107) to provide supply information on a monthly basis. There is no auto-calculation component for these volumes; this a supply volume that is entered ONLY on this tab and is entered in the month fields (cells turn yellow). The user can also select "None" after monthly values are entered in which case the cells containing monthly volumes will turn grey. The values will remain in the cell but the greyed out values are not included in the final supplies available analysis.</t>
    </r>
  </si>
  <si>
    <t>Percentage offset is based autocalculated building potential summary from Tab 6 - Building Potential Summary</t>
  </si>
  <si>
    <t>Potential. Demand</t>
  </si>
  <si>
    <t>Total Water Demand (Potable + Non-Potable):</t>
  </si>
  <si>
    <r>
      <t>TOTAL</t>
    </r>
    <r>
      <rPr>
        <b/>
        <i/>
        <sz val="10"/>
        <rFont val="Arial"/>
        <family val="2"/>
      </rPr>
      <t>:</t>
    </r>
  </si>
  <si>
    <t>Based on Tab 6 - Building Potential Summary tab</t>
  </si>
  <si>
    <t>Based on selections on Tab 7 - Project Definition</t>
  </si>
  <si>
    <t>If Manually Entering annual showerhead, faucet and laundry graywater supply available for reuse, enter here (gpy):</t>
  </si>
  <si>
    <t>If Manually Entering annual urinals, toilet, kitchen and low flow sprayer supply available for reuse, enter here (gpy):</t>
  </si>
  <si>
    <t>If Manually Entering annual showerhead, faucet, bath and washing machine graywater supply available for reuse, enter here (gpy):</t>
  </si>
  <si>
    <t>If Manually Entering annual toilet, kitchen and dishwasher supply available for reuse, enter here (gpy):</t>
  </si>
  <si>
    <t>3. Summary of Non-Potable Demands and Supplies for the Project</t>
  </si>
  <si>
    <t>Non-Potable Water Supply Estimates</t>
  </si>
  <si>
    <t>Non-Potable Water Demand Estimates</t>
  </si>
  <si>
    <t>Grant Criteria Status:</t>
  </si>
  <si>
    <t>Project Specific Non-Potable Application Demands</t>
  </si>
  <si>
    <t>[Adjust Cistern Volume in Tab 7 - Project Definition (row 129) to see change in Event Captured]</t>
  </si>
  <si>
    <t>(2) Manually entered rainwater supplies can be selected to override/replace calculator supplies in Tab 7 - Project Definition</t>
  </si>
  <si>
    <t>&lt;--These values could be selected in Tab 7 - Project Definition to replace the values in the table above</t>
  </si>
  <si>
    <t>User should enter the treatment recovery rate or manually enter HVAC supply. Manually entered values can be selected in Tab 7 - Project Definition to override/replace the auto-calculated values.</t>
  </si>
  <si>
    <t>Manually entered values can be selected in Tab 7 - Project Definition to override/replace the auto-calculated values.</t>
  </si>
  <si>
    <t>Enter HVAC/Cooling demands and other indoor non-potable demands.</t>
  </si>
  <si>
    <t>(3) Manually entered supplies can be selected as a supply source in Tab 7 - Project Definition sheet</t>
  </si>
  <si>
    <t>NO ACTION: Green-colored cells typically contain values based on formulas</t>
  </si>
  <si>
    <t>(gpd)</t>
  </si>
  <si>
    <t>Tab 7 - Project Definition allows the user to select between the auto-calculated supply and demand values or the manually entered values.</t>
  </si>
  <si>
    <r>
      <rPr>
        <sz val="11"/>
        <color rgb="FFFF0000"/>
        <rFont val="Arial"/>
        <family val="2"/>
      </rPr>
      <t>*</t>
    </r>
    <r>
      <rPr>
        <sz val="9"/>
        <rFont val="Arial"/>
        <family val="2"/>
      </rPr>
      <t xml:space="preserve">Note: Estimates for </t>
    </r>
    <r>
      <rPr>
        <i/>
        <sz val="9"/>
        <rFont val="Arial"/>
        <family val="2"/>
      </rPr>
      <t>Demands Met by Non-Potable Supply for Project</t>
    </r>
    <r>
      <rPr>
        <sz val="9"/>
        <rFont val="Arial"/>
        <family val="2"/>
      </rPr>
      <t xml:space="preserve"> and </t>
    </r>
    <r>
      <rPr>
        <i/>
        <sz val="9"/>
        <rFont val="Arial"/>
        <family val="2"/>
      </rPr>
      <t>Project Total Annual Water Demand</t>
    </r>
    <r>
      <rPr>
        <sz val="9"/>
        <rFont val="Arial"/>
        <family val="2"/>
      </rPr>
      <t xml:space="preserve"> based on Tab 6 - Building Potential Summary total water demand values. Manually entered non-potable demands that exceed auto-calculated non-potable demands from Tab 6 may result in Total Annual Water demands greater than the value used in this analysis. 
</t>
    </r>
    <r>
      <rPr>
        <i/>
        <sz val="9"/>
        <rFont val="Arial"/>
        <family val="2"/>
      </rPr>
      <t>Project Total Annual Toilet Water Demand</t>
    </r>
    <r>
      <rPr>
        <sz val="9"/>
        <rFont val="Arial"/>
        <family val="2"/>
      </rPr>
      <t xml:space="preserve"> and </t>
    </r>
    <r>
      <rPr>
        <i/>
        <sz val="9"/>
        <rFont val="Arial"/>
        <family val="2"/>
      </rPr>
      <t xml:space="preserve">Toilet Demands Met by Non-Potable Supply </t>
    </r>
    <r>
      <rPr>
        <sz val="9"/>
        <rFont val="Arial"/>
        <family val="2"/>
      </rPr>
      <t>based on Tab 6 - Building Potential Summary toilet demands.</t>
    </r>
  </si>
  <si>
    <t>Make-Up Water (Difference between Selected NP Demand and Selected NP Supply)</t>
  </si>
  <si>
    <t>Make-up water is constituted of the difference between selected Non-Potable Demands proposed for the project and selected Non-Potable Supplies</t>
  </si>
  <si>
    <t>Annual make-up volume is based on the sum of each individual month's make-up volume and does not assume any storage of a single month's surplus volume for use in another month</t>
  </si>
  <si>
    <t>Average Daily Cooling Supply (gpd)</t>
  </si>
  <si>
    <t>Average Monthly Cooling Supply (gal/mth)</t>
  </si>
  <si>
    <t>Estimated Annual Cooling Tower Supply based on Treatment Recovery (gal/year)</t>
  </si>
  <si>
    <t>Estimated Annual Cooling Tower Supply based on Manual Entry  (gal/year)</t>
  </si>
  <si>
    <t>Dear Applicant:</t>
  </si>
  <si>
    <t>●</t>
  </si>
  <si>
    <t>Alternate Water Supply Project Compliance</t>
  </si>
  <si>
    <t>Attention:</t>
  </si>
  <si>
    <t>Based on selected reuse supplies, the site will provide the following annual supplies:</t>
  </si>
  <si>
    <t>gallons per year of estimated rainwater supplies</t>
  </si>
  <si>
    <t>of urinal/toilet and irrigation demands are met by qualified onsite supplies</t>
  </si>
  <si>
    <t>of potential onsite supplies are reused (excludes blackwater)</t>
  </si>
  <si>
    <t>This selection of on-site supplies to be used for non-potable reuse results in the following:</t>
  </si>
  <si>
    <t>Please contact me should you have any questions.</t>
  </si>
  <si>
    <t>Sincerely,</t>
  </si>
  <si>
    <t>Cistern Vol (ft3)</t>
  </si>
  <si>
    <t>Water in Cistern (gal)</t>
  </si>
  <si>
    <t>Runoff</t>
  </si>
  <si>
    <t>Performance</t>
  </si>
  <si>
    <t>Runoff (gal)</t>
  </si>
  <si>
    <t>Runoff Collected (gal)</t>
  </si>
  <si>
    <t>Indoor (gal)</t>
  </si>
  <si>
    <t>Total (gal)</t>
  </si>
  <si>
    <t>Water Captured (gal)</t>
  </si>
  <si>
    <t>Water Used (gal)</t>
  </si>
  <si>
    <t>Overflow (gal)</t>
  </si>
  <si>
    <t>Average Irrigation Coefficient</t>
  </si>
  <si>
    <r>
      <t>Irrigation Area (ft</t>
    </r>
    <r>
      <rPr>
        <vertAlign val="superscript"/>
        <sz val="11"/>
        <rFont val="Calibri"/>
        <family val="2"/>
        <scheme val="minor"/>
      </rPr>
      <t>2</t>
    </r>
    <r>
      <rPr>
        <sz val="11"/>
        <rFont val="Calibri"/>
        <family val="2"/>
        <scheme val="minor"/>
      </rPr>
      <t>)</t>
    </r>
  </si>
  <si>
    <t>Irrigation + Other Outdoor (gal)</t>
  </si>
  <si>
    <t>Assumes cistern is empty beginning of September</t>
  </si>
  <si>
    <t>Avg. Annual Demand met by RWH %</t>
  </si>
  <si>
    <t>Avg. Annual Runoff Captured &amp; Used</t>
  </si>
  <si>
    <t>Source: LEED Reference for Building Operations and Maintenance, Version 4. Updated October 1, 2014. Appendix 2-Table 1. Default Occupancy Numbers.</t>
  </si>
  <si>
    <t>of total water demand is met</t>
  </si>
  <si>
    <t>Min. Rec. Cistern Vol. (gal)</t>
  </si>
  <si>
    <t>See embedded comment on recommended minimum cistern size.</t>
  </si>
  <si>
    <t>Major Updates to Calculator</t>
  </si>
  <si>
    <t>Estimated Site/Building Permit Issuance Date:</t>
  </si>
  <si>
    <t>If Manually entering Other Outdoor Demands, enter values here to override the autocalculation values for Decorative Water Feature and Other Other Outdoor non-Potable Demands per site(gpy):</t>
  </si>
  <si>
    <t>Manually entered values can be selected in Tab 7 - Project Definition to override/replace the auto-calculated values.
Note, selecting "Manual Entry" on Tab 7 will result with the Decorative Water Demands (cell D67) and Other Non-Potable Demands (cell C72) values being overriden in the final calculations by the value in cell D76</t>
  </si>
  <si>
    <t>&lt;enter description here&gt;</t>
  </si>
  <si>
    <r>
      <t xml:space="preserve">Cistern Size must be entered in </t>
    </r>
    <r>
      <rPr>
        <i/>
        <sz val="11"/>
        <color rgb="FFFF0000"/>
        <rFont val="Calibri"/>
        <family val="2"/>
        <scheme val="minor"/>
      </rPr>
      <t xml:space="preserve">Tab 7 - Project Definition </t>
    </r>
    <r>
      <rPr>
        <i/>
        <sz val="11"/>
        <rFont val="Calibri"/>
        <family val="2"/>
        <scheme val="minor"/>
      </rPr>
      <t xml:space="preserve">to calculate Rainwater Supply </t>
    </r>
  </si>
  <si>
    <r>
      <t>Project Total Annual Toilet + Irrigation Water Demand (gpy</t>
    </r>
    <r>
      <rPr>
        <b/>
        <i/>
        <sz val="10"/>
        <color rgb="FFFF0000"/>
        <rFont val="Arial"/>
        <family val="2"/>
      </rPr>
      <t>*</t>
    </r>
    <r>
      <rPr>
        <b/>
        <i/>
        <sz val="10"/>
        <rFont val="Arial"/>
        <family val="2"/>
      </rPr>
      <t>:</t>
    </r>
  </si>
  <si>
    <r>
      <t>Toilet + Irrigation Demands Met by Non-Potable Supply</t>
    </r>
    <r>
      <rPr>
        <b/>
        <i/>
        <sz val="10"/>
        <color rgb="FFFF0000"/>
        <rFont val="Arial"/>
        <family val="2"/>
      </rPr>
      <t>*</t>
    </r>
    <r>
      <rPr>
        <b/>
        <i/>
        <sz val="10"/>
        <rFont val="Arial"/>
        <family val="2"/>
      </rPr>
      <t>:</t>
    </r>
  </si>
  <si>
    <t>Selected Toilet + Irrigation Water Demand (gpy):</t>
  </si>
  <si>
    <t>Selected Toilet + Irrigation Water Demand:</t>
  </si>
  <si>
    <t>Toilets/Urinals + Irrigation</t>
  </si>
  <si>
    <t>Total Toilet + Irrigation Water Demand (gpy):</t>
  </si>
  <si>
    <t>Total Toilet + Irrigation Water Demand Offset:</t>
  </si>
  <si>
    <t>Step 3 of 7: Calculate Indoor Non-Potable Supply (Graywater, Blackwater)</t>
  </si>
  <si>
    <t>Step 4 of 7: Calculate Outdoor Water Demand (Landscape Irrigation, Washing of sidewalks, street or buildings)</t>
  </si>
  <si>
    <t>Washing of sidewalks, street or buildings</t>
  </si>
  <si>
    <t>Step 5 of 7: Calculate Outdoor Water Supply (Rainwater Harvesting)</t>
  </si>
  <si>
    <t>TOTAL Rainwater Supplies</t>
  </si>
  <si>
    <t xml:space="preserve">Bureau of Environmental Planning &amp; Analysis </t>
  </si>
  <si>
    <t>Non-Potable Water Reuse Program</t>
  </si>
  <si>
    <t>NYC Environmental Protection</t>
  </si>
  <si>
    <t>59-17 Junction Boulevard, 11th Floor</t>
  </si>
  <si>
    <t>Flushing, NY 11373</t>
  </si>
  <si>
    <t>Onsite Non-Potable Water Reuse Grant Program</t>
  </si>
  <si>
    <t xml:space="preserve">gallons per year total estimated demand </t>
  </si>
  <si>
    <t>Version 0.0</t>
  </si>
  <si>
    <t>Adapted from SFPUC calculator</t>
  </si>
  <si>
    <t>NYC Land Use</t>
  </si>
  <si>
    <t xml:space="preserve">One &amp; Two Family Buildings </t>
  </si>
  <si>
    <t xml:space="preserve">Multi - Family Walk- Up Buldings </t>
  </si>
  <si>
    <t xml:space="preserve">Multi - Family Elevator Buildings </t>
  </si>
  <si>
    <t xml:space="preserve">Mixed Residential and Commercial Buildings </t>
  </si>
  <si>
    <t xml:space="preserve">Commercial and Office Buildings </t>
  </si>
  <si>
    <t xml:space="preserve">Industrial and Manufacturing </t>
  </si>
  <si>
    <t xml:space="preserve">Transportation and Utility </t>
  </si>
  <si>
    <t xml:space="preserve">Public Facilities and Institutions </t>
  </si>
  <si>
    <t xml:space="preserve">Open Space and Outdoor Recreation </t>
  </si>
  <si>
    <t>Calculate Outdoor Water Supply (Rainwater Harvesting)</t>
  </si>
  <si>
    <t>Calculate Indoor Non-Potable Supply (Graywater, Blackwater)</t>
  </si>
  <si>
    <t>Enter cooling tower discharge supply,  and other indoor supplies</t>
  </si>
  <si>
    <t>Discrepancies should be discussed with NYC DEP Program contacts.</t>
  </si>
  <si>
    <t>Single Site Calculator Version 0.0</t>
  </si>
  <si>
    <t xml:space="preserve">This tool estimates a project's: </t>
  </si>
  <si>
    <t>B) Onsite supplies that can be generated through collection and reuse of rainwater, stormwater, graywater, and/or blackwater</t>
  </si>
  <si>
    <r>
      <t xml:space="preserve">Average per Capita per Day Usage </t>
    </r>
    <r>
      <rPr>
        <b/>
        <vertAlign val="superscript"/>
        <sz val="11"/>
        <color theme="0"/>
        <rFont val="Calibri"/>
        <family val="2"/>
        <scheme val="minor"/>
      </rPr>
      <t>(1)</t>
    </r>
  </si>
  <si>
    <t>Faucet</t>
  </si>
  <si>
    <t xml:space="preserve">Showerhead </t>
  </si>
  <si>
    <t>Othe Domestic Use</t>
  </si>
  <si>
    <t xml:space="preserve">Dishwasher </t>
  </si>
  <si>
    <t>Total Water Demand (gpd) = Average per Capita per Day Usage  x No. of Occupants</t>
  </si>
  <si>
    <t>Total Runoff Area (ft2)</t>
  </si>
  <si>
    <t>Net Water (gal/month)</t>
  </si>
  <si>
    <t>&lt;-1-digit borough-5-digit block + 4 -digit  lot number</t>
  </si>
  <si>
    <t>Laundry Machine</t>
  </si>
  <si>
    <r>
      <t>TOTALS FOR</t>
    </r>
    <r>
      <rPr>
        <b/>
        <sz val="11"/>
        <color rgb="FFFFFF00"/>
        <rFont val="Calibri"/>
        <family val="2"/>
        <scheme val="minor"/>
      </rPr>
      <t xml:space="preserve"> </t>
    </r>
    <r>
      <rPr>
        <b/>
        <sz val="11"/>
        <color theme="0"/>
        <rFont val="Calibri"/>
        <family val="2"/>
        <scheme val="minor"/>
      </rPr>
      <t>MONTH</t>
    </r>
  </si>
  <si>
    <r>
      <t>Average Rainfall (in/month)</t>
    </r>
    <r>
      <rPr>
        <b/>
        <vertAlign val="superscript"/>
        <sz val="11"/>
        <color theme="0"/>
        <rFont val="Calibri"/>
        <family val="2"/>
        <scheme val="minor"/>
      </rPr>
      <t>1</t>
    </r>
  </si>
  <si>
    <t>Actual ET (in/day)</t>
  </si>
  <si>
    <r>
      <t>ET</t>
    </r>
    <r>
      <rPr>
        <b/>
        <vertAlign val="subscript"/>
        <sz val="11"/>
        <color theme="0"/>
        <rFont val="Calibri"/>
        <family val="2"/>
        <scheme val="minor"/>
      </rPr>
      <t xml:space="preserve">0
</t>
    </r>
    <r>
      <rPr>
        <b/>
        <sz val="11"/>
        <color theme="0"/>
        <rFont val="Calibri"/>
        <family val="2"/>
        <scheme val="minor"/>
      </rPr>
      <t>in/day</t>
    </r>
  </si>
  <si>
    <r>
      <t>ET</t>
    </r>
    <r>
      <rPr>
        <b/>
        <vertAlign val="subscript"/>
        <sz val="11"/>
        <color theme="0"/>
        <rFont val="Calibri"/>
        <family val="2"/>
        <scheme val="minor"/>
      </rPr>
      <t xml:space="preserve">L
</t>
    </r>
    <r>
      <rPr>
        <b/>
        <sz val="11"/>
        <color theme="0"/>
        <rFont val="Calibri"/>
        <family val="2"/>
        <scheme val="minor"/>
      </rPr>
      <t>in/day</t>
    </r>
  </si>
  <si>
    <t>DEP Project Manager</t>
  </si>
  <si>
    <t xml:space="preserve">808 Columbus Avenue, Manhattan </t>
  </si>
  <si>
    <t>Table 1. Land Use Categories (Source: NYC Pluto Data)</t>
  </si>
  <si>
    <r>
      <t>Monthly ET</t>
    </r>
    <r>
      <rPr>
        <b/>
        <vertAlign val="superscript"/>
        <sz val="11"/>
        <color theme="0"/>
        <rFont val="Calibri"/>
        <family val="2"/>
        <scheme val="minor"/>
      </rPr>
      <t xml:space="preserve">1 </t>
    </r>
    <r>
      <rPr>
        <b/>
        <sz val="11"/>
        <color theme="0"/>
        <rFont val="Calibri"/>
        <family val="2"/>
        <scheme val="minor"/>
      </rPr>
      <t>(avg in/day)</t>
    </r>
  </si>
  <si>
    <t>1. JFK Airport readings LTCP baseline year 2008</t>
  </si>
  <si>
    <t>Date:9/30/16</t>
  </si>
  <si>
    <r>
      <t>This calculator is</t>
    </r>
    <r>
      <rPr>
        <b/>
        <sz val="16"/>
        <color rgb="FFFF0000"/>
        <rFont val="Calibri"/>
        <family val="2"/>
        <scheme val="minor"/>
      </rPr>
      <t xml:space="preserve"> NOT A DESIGN TOOL</t>
    </r>
    <r>
      <rPr>
        <sz val="12"/>
        <rFont val="Calibri"/>
        <family val="2"/>
        <scheme val="minor"/>
      </rPr>
      <t xml:space="preserve"> and should be used for accounting and documentation purposes only.</t>
    </r>
  </si>
  <si>
    <t>Final calculated demand, supply, and offset estimates should be compared with the user's own calculations.</t>
  </si>
  <si>
    <t>It is not intended to be used as a design or optimization tool.</t>
  </si>
  <si>
    <r>
      <t>This calculator is intended for on-site non-potable reuse projects on</t>
    </r>
    <r>
      <rPr>
        <b/>
        <sz val="12"/>
        <rFont val="Calibri"/>
        <family val="2"/>
        <scheme val="minor"/>
      </rPr>
      <t xml:space="preserve"> single sites</t>
    </r>
    <r>
      <rPr>
        <sz val="12"/>
        <rFont val="Calibri"/>
        <family val="2"/>
        <scheme val="minor"/>
      </rPr>
      <t>. NYC DEP has a District-scale Non-Potable Water Calculator for projects involving multiple adjacent parcels.</t>
    </r>
  </si>
  <si>
    <t>A) Non-potable water demands; and</t>
  </si>
  <si>
    <t>The Non-Potable Water Calculator is intended to help generate initial estimates. All users should independently verify these estimates and update project-specific demand assumptions as appropriate.</t>
  </si>
  <si>
    <t>The Non-Potable Water Calculator will be updated as user feedback is collected. Users may also make adjustments to the calculator to more accurately reflect onsite demands and supplies for building types not shown in the calculator, or types that are shown, but do not represent expected building demands and supplies. Users are encouraged to document and share these changes with NYC DEP to ensure transparency and help inform future calculator updates. In addition, users can reference industry standard documents, such as U.S. Green Building Council's "Water Use Reduction Additional Guidance" (July 6, 2012), to calibrate calculator inputs and estimate demands and supplies.</t>
  </si>
  <si>
    <t>4. Results of the project analysis are shown in Steps 6 and 7.</t>
  </si>
  <si>
    <t xml:space="preserve">6. This calculator is set up to automatically calculate the building's supply and demand based on size of building space, occupancy rate, standard fixture flow rates, etc. However, each demand and supply calculation section also provides cell inputs for the user to provide an "override" or "manual entry" of supply and demand estimates. Using manual entries are optional; they are included to provide more flexibility in refining building-specific supply and demand estimates.  </t>
  </si>
  <si>
    <t>7. Calculator tabs are best viewed at 80% or larger zoom level</t>
  </si>
  <si>
    <t>Worksheet Number</t>
  </si>
  <si>
    <t>Enter building space information, days of operation, and occupancy rates</t>
  </si>
  <si>
    <t>Select which individual demands will be offset and which supplies will be used for non-potable offset purposes.</t>
  </si>
  <si>
    <t xml:space="preserve">*Note: Tabs 2 through 5 have automatically calculated values and manual entry “override” options for demands and supplies. Using manual entries are optional; they are included to provide more flexibility in refining building-specific supply and demand estimates.  </t>
  </si>
  <si>
    <t>Users provide project inputs in yellow-colored cells, or choose options from a drop-down menu</t>
  </si>
  <si>
    <t>NO ACTION: Dark grey-colored cells contain values that are currently not contributing to final offset calculations; these values can become "active" when users change the drop-down selection in linked yellow-colored cells</t>
  </si>
  <si>
    <t>1. NYC DEP assumes that the main users of this calculator will be designated project team members (e.g., project engineer or manager) and NYC DEP review staff; all users and reviewers need access to Microsoft Excel 2007 or later and basic proficiency in Excel.</t>
  </si>
  <si>
    <t>2. This calculator and the associated inputs require a project to be at the schematic or design development phase.</t>
  </si>
  <si>
    <t>3. The estimated level of effort for utilizing this calculator is approximately 4 to 6 hours, depending on the complexity of the project. Note that this estimate does not include additional time taken to consolidate relevant building information, or conduct external analysis of other specified demands or supplies that are not included as defaults in the calculator.</t>
  </si>
  <si>
    <t>Project Name</t>
  </si>
  <si>
    <t>Project Address</t>
  </si>
  <si>
    <t>BBL</t>
  </si>
  <si>
    <t>Users may also make adjustments to the calculator to more accurately reflect onsite demands and supplies for building types not shown in the calculator, or types that are shown, but do not represent expected building demands and supplies. For example, hotel developments can be added to the calculator by using the "Commercial Use Breakdown" table below. Hotel demands from full time equivalents (FTEs) and Transient FTEs can be estimated by entering Space Type, Description, Gross Area, and GSF per Occupant in one of the rows reserved for additional building types (Rows 79-81). Hotel guest demands can be estimated, using the same sheet, by adjusting the "Residential" inputs for Persons per Household Unit and # of Residents (Rows 88 and 89). Industry standard documents, such as U.S. Green Building Council's Water Use Reduction Additional Guidance" (July 6, 2012), can be used to calibrate calculator inputs and estimate demands and supplies.  Any changes to the default assumptions or values in the calculator should be summarized and shared with NYC DEP.</t>
  </si>
  <si>
    <r>
      <t xml:space="preserve">User's have the </t>
    </r>
    <r>
      <rPr>
        <b/>
        <u/>
        <sz val="11"/>
        <rFont val="Calibri"/>
        <family val="2"/>
        <scheme val="minor"/>
      </rPr>
      <t>option to manually enter</t>
    </r>
    <r>
      <rPr>
        <sz val="11"/>
        <rFont val="Calibri"/>
        <family val="2"/>
        <scheme val="minor"/>
      </rPr>
      <t xml:space="preserve"> water demand estimates for the site. These estimates can be used to override or replace the auto-calculated estimates. </t>
    </r>
    <r>
      <rPr>
        <sz val="11"/>
        <color rgb="FFFF0000"/>
        <rFont val="Calibri"/>
        <family val="2"/>
        <scheme val="minor"/>
      </rPr>
      <t xml:space="preserve">Tab 7 - Project Definition </t>
    </r>
    <r>
      <rPr>
        <sz val="11"/>
        <rFont val="Calibri"/>
        <family val="2"/>
        <scheme val="minor"/>
      </rPr>
      <t>allows the user to choose between the auto-calculated value and the manually entered values.</t>
    </r>
  </si>
  <si>
    <r>
      <t xml:space="preserve">User's have the </t>
    </r>
    <r>
      <rPr>
        <b/>
        <u/>
        <sz val="11"/>
        <rFont val="Calibri"/>
        <family val="2"/>
        <scheme val="minor"/>
      </rPr>
      <t>option to manually enter</t>
    </r>
    <r>
      <rPr>
        <sz val="11"/>
        <rFont val="Calibri"/>
        <family val="2"/>
        <scheme val="minor"/>
      </rPr>
      <t xml:space="preserve"> water supply estimates for each site. These estimates can be used to override or replace the auto-calculated estimates. </t>
    </r>
    <r>
      <rPr>
        <sz val="11"/>
        <color rgb="FFFF0000"/>
        <rFont val="Calibri"/>
        <family val="2"/>
        <scheme val="minor"/>
      </rPr>
      <t>Tab 7 - Project Definition</t>
    </r>
    <r>
      <rPr>
        <sz val="11"/>
        <rFont val="Calibri"/>
        <family val="2"/>
        <scheme val="minor"/>
      </rPr>
      <t xml:space="preserve"> allows the user to choose between the auto-calculated value and the manually entered values</t>
    </r>
  </si>
  <si>
    <r>
      <t xml:space="preserve">User's have the </t>
    </r>
    <r>
      <rPr>
        <b/>
        <u/>
        <sz val="11"/>
        <rFont val="Calibri"/>
        <family val="2"/>
        <scheme val="minor"/>
      </rPr>
      <t>option to manually enter</t>
    </r>
    <r>
      <rPr>
        <sz val="11"/>
        <rFont val="Calibri"/>
        <family val="2"/>
        <scheme val="minor"/>
      </rPr>
      <t xml:space="preserve"> irrigation demand estimates for each site. These estimates can be used to override or replace the auto-calculated estimates. </t>
    </r>
    <r>
      <rPr>
        <sz val="11"/>
        <color rgb="FFFF0000"/>
        <rFont val="Calibri"/>
        <family val="2"/>
        <scheme val="minor"/>
      </rPr>
      <t>Tab 7 - Project Definition</t>
    </r>
    <r>
      <rPr>
        <sz val="11"/>
        <rFont val="Calibri"/>
        <family val="2"/>
        <scheme val="minor"/>
      </rPr>
      <t xml:space="preserve"> allows the user to choose between the auto-calculated value and the manually entered values.</t>
    </r>
  </si>
  <si>
    <t xml:space="preserve">This tab calculates annual indoor water demand based on water demand from domestic fixtures and fittings, using assumed usage rates based on the building uses and occupancy profiles entered in Step 1. </t>
  </si>
  <si>
    <t>This tab calculates annual indoor water supply based on supply from collection of graywater, blackwater and other sources.</t>
  </si>
  <si>
    <r>
      <t xml:space="preserve">This tab calculates annual outdoor water demand based on landscape irrigation demand and demand associated with other outdoor features such as decorative fountains. </t>
    </r>
    <r>
      <rPr>
        <b/>
        <sz val="11"/>
        <color rgb="FFFF0000"/>
        <rFont val="Calibri"/>
        <family val="2"/>
        <scheme val="minor"/>
      </rPr>
      <t xml:space="preserve">User input is required in Sections A and B. </t>
    </r>
    <r>
      <rPr>
        <sz val="11"/>
        <rFont val="Calibri"/>
        <family val="2"/>
        <scheme val="minor"/>
      </rPr>
      <t>This step also includes information on compliance with the City's landscape irrigation ordinance in Section C.</t>
    </r>
  </si>
  <si>
    <r>
      <t xml:space="preserve">The calculator, by default, uses the auto-calculated values for the non-potable offset analysis. Begin by reviewing each of the demand and supply components and select "Yes" or "No" regarding whether the component will contribute to the offset analysis. If any of the manual entry values are to be used, go back to that component and select "Manual Entry" and ensure the volumes cited in the Manual Entry fields are correct by checking the source tab for those volumes. 
</t>
    </r>
    <r>
      <rPr>
        <i/>
        <sz val="11"/>
        <rFont val="Calibri"/>
        <family val="2"/>
        <scheme val="minor"/>
      </rPr>
      <t>Troubleshooting:</t>
    </r>
    <r>
      <rPr>
        <sz val="11"/>
        <rFont val="Calibri"/>
        <family val="2"/>
        <scheme val="minor"/>
      </rPr>
      <t xml:space="preserve"> If the user decides to go back-and-forth between the auto-calculated values and the manual entry volumes and does not think the component total volumes are correct, double-check the Yes/No selections for the components.  Also, note that even if "Yes" is selected for a component, that components volume will be zero if "Manual Entry" is selected for the components approach. Individual component volumes only apply when "Use Auto-Calculations" is selected for the component.</t>
    </r>
  </si>
  <si>
    <t>If "Use Auto-Calculations" is selected (the default assumption), the volumes associated with the individual components of the section, are used in the final offset analysis. In this mode, these components can be individually selected to contribute or not contribute to the final analysis by selecting "Yes" or "No" in Columns C, E, or G.</t>
  </si>
  <si>
    <r>
      <t xml:space="preserve">If "Manual Entry" is selected, the auto-calculated volumes show zero values and manually entered volumes from Tabs 2 through 5 will be referenced. The cell to the right of the selection box will turn blue to indicate the Manual Entry volume being used in the offset analysis.
</t>
    </r>
    <r>
      <rPr>
        <i/>
        <sz val="11"/>
        <rFont val="Calibri"/>
        <family val="2"/>
        <scheme val="minor"/>
      </rPr>
      <t>Conventional Cooling Demand</t>
    </r>
    <r>
      <rPr>
        <sz val="11"/>
        <rFont val="Calibri"/>
        <family val="2"/>
        <scheme val="minor"/>
      </rPr>
      <t xml:space="preserve"> and </t>
    </r>
    <r>
      <rPr>
        <i/>
        <sz val="11"/>
        <rFont val="Calibri"/>
        <family val="2"/>
        <scheme val="minor"/>
      </rPr>
      <t>Other Supplies</t>
    </r>
    <r>
      <rPr>
        <sz val="11"/>
        <rFont val="Calibri"/>
        <family val="2"/>
        <scheme val="minor"/>
      </rPr>
      <t xml:space="preserve"> will not have a "Manual Entry" selection option because their volumes are manually entered in Tab 2 and do not have auto-calculation assumptions.
</t>
    </r>
  </si>
  <si>
    <t>Alan Cohn</t>
  </si>
  <si>
    <t>D. OTHER SUPPLIES</t>
  </si>
  <si>
    <r>
      <t xml:space="preserve">(1) Indoor Daily per Capita Usage based on 2016 AWWA Research Foundation </t>
    </r>
    <r>
      <rPr>
        <i/>
        <sz val="11"/>
        <rFont val="Calibri"/>
        <family val="2"/>
        <scheme val="minor"/>
      </rPr>
      <t>Residential End Uses of Water, Version 2</t>
    </r>
  </si>
  <si>
    <t>(2) Flow rate based on maximum flow rate prescribed by NYC Plumbing Code (Table 604.4)</t>
  </si>
  <si>
    <t xml:space="preserve">Lavatory Faucet </t>
  </si>
  <si>
    <r>
      <t xml:space="preserve">Kitchen Faucet </t>
    </r>
    <r>
      <rPr>
        <vertAlign val="superscript"/>
        <sz val="11"/>
        <rFont val="Calibri"/>
        <family val="2"/>
        <scheme val="minor"/>
      </rPr>
      <t>(4)</t>
    </r>
  </si>
  <si>
    <t xml:space="preserve">Urinals </t>
  </si>
  <si>
    <r>
      <t>Duration</t>
    </r>
    <r>
      <rPr>
        <b/>
        <vertAlign val="superscript"/>
        <sz val="11"/>
        <color theme="0"/>
        <rFont val="Calibri"/>
        <family val="2"/>
        <scheme val="minor"/>
      </rPr>
      <t>(3)</t>
    </r>
  </si>
  <si>
    <r>
      <t>Ave Daily Use</t>
    </r>
    <r>
      <rPr>
        <b/>
        <vertAlign val="superscript"/>
        <sz val="11"/>
        <color theme="0"/>
        <rFont val="Calibri"/>
        <family val="2"/>
        <scheme val="minor"/>
      </rPr>
      <t>(3)</t>
    </r>
  </si>
  <si>
    <r>
      <t xml:space="preserve">Ave Daily Use (Transient) </t>
    </r>
    <r>
      <rPr>
        <b/>
        <vertAlign val="superscript"/>
        <sz val="11"/>
        <color theme="0"/>
        <rFont val="Calibri"/>
        <family val="2"/>
        <scheme val="minor"/>
      </rPr>
      <t>(3)</t>
    </r>
  </si>
  <si>
    <t>(3) From LEED 2009 Water Use Reduction Additional Guidance (Version 8). Updated April 1, 2013. Table 1. Non-residential Default Fixture Uses</t>
  </si>
  <si>
    <r>
      <t>Flow Rate</t>
    </r>
    <r>
      <rPr>
        <b/>
        <vertAlign val="superscript"/>
        <sz val="11"/>
        <color theme="0"/>
        <rFont val="Calibri"/>
        <family val="2"/>
        <scheme val="minor"/>
      </rPr>
      <t>(2)</t>
    </r>
  </si>
  <si>
    <t>gal/emp/day</t>
  </si>
  <si>
    <t>(5) From 2011 SFPUC Water Demand Conservation Model (Retail Model for Non-Residential), Estimated Usage for Nonresidential Low-Flow Sprayers in Restaurants.</t>
  </si>
  <si>
    <t xml:space="preserve"> COMMERCIAL USE OCCUPANCY</t>
  </si>
  <si>
    <t>Provide a breakdown of project square footage based on the space types within the building. Projects  must utilize the default gross square footage (GSF) occupancy counts provided in Columns D and E in the table below. Where the provided space types are not applicable, please indicate the space type or types in your building and the associated occupancy counts. Gross Area (GSF) = Net Usable Area + Structural Space</t>
  </si>
  <si>
    <t>Default assumed from 2011 Retail Demand Model Update - Household and Persons per Household Projections.</t>
  </si>
  <si>
    <t>Evapotranspiration</t>
  </si>
  <si>
    <t>This Tab calculates annual outdoor water supply based on the amount of rainwater and/or stormwater captured.</t>
  </si>
  <si>
    <r>
      <t xml:space="preserve">User's have the option to manually enter rainwater and stormwater supply estimates for each site. These estimates could be used to override or replace the auto-calculated estimates.  </t>
    </r>
    <r>
      <rPr>
        <sz val="11"/>
        <color rgb="FFFF0000"/>
        <rFont val="Calibri"/>
        <family val="2"/>
        <scheme val="minor"/>
      </rPr>
      <t>Tab 7 - Project Definition</t>
    </r>
    <r>
      <rPr>
        <sz val="11"/>
        <rFont val="Calibri"/>
        <family val="2"/>
        <scheme val="minor"/>
      </rPr>
      <t xml:space="preserve"> allows the user to choose between the auto-calculated values and the manually entered values.</t>
    </r>
  </si>
  <si>
    <r>
      <t>This Tab provides an accounting of total demand and onsite supplies for the project are summarized below.</t>
    </r>
    <r>
      <rPr>
        <b/>
        <sz val="11"/>
        <color rgb="FFFF0000"/>
        <rFont val="Calibri"/>
        <family val="2"/>
        <scheme val="minor"/>
      </rPr>
      <t xml:space="preserve"> 
No user input is needed for this step.</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</si>
</sst>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_(* \(#,##0.00\);_(* &quot;-&quot;??_);_(@_)"/>
    <numFmt numFmtId="164" formatCode="0.0000"/>
    <numFmt numFmtId="165" formatCode="0.0"/>
    <numFmt numFmtId="166" formatCode="0.0%"/>
    <numFmt numFmtId="167" formatCode="#,##0.0"/>
    <numFmt numFmtId="168" formatCode="_(* #,##0_);_(* \(#,##0\);_(* &quot;-&quot;??_);_(@_)"/>
  </numFmts>
  <fonts count="131"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b/>
      <sz val="12"/>
      <name val="Arial"/>
      <family val="2"/>
    </font>
    <font>
      <i/>
      <sz val="10"/>
      <name val="Arial"/>
      <family val="2"/>
    </font>
    <font>
      <u/>
      <sz val="10"/>
      <color indexed="12"/>
      <name val="Arial"/>
      <family val="2"/>
    </font>
    <font>
      <vertAlign val="superscript"/>
      <sz val="10"/>
      <name val="Arial"/>
      <family val="2"/>
    </font>
    <font>
      <b/>
      <u/>
      <sz val="10"/>
      <name val="Arial"/>
      <family val="2"/>
    </font>
    <font>
      <b/>
      <sz val="9"/>
      <name val="Arial"/>
      <family val="2"/>
    </font>
    <font>
      <b/>
      <sz val="10"/>
      <color indexed="8"/>
      <name val="Arial"/>
      <family val="2"/>
    </font>
    <font>
      <sz val="10"/>
      <color indexed="9"/>
      <name val="Arial"/>
      <family val="2"/>
    </font>
    <font>
      <sz val="10"/>
      <name val="Verdana"/>
      <family val="2"/>
    </font>
    <font>
      <sz val="8"/>
      <name val="Arial"/>
      <family val="2"/>
    </font>
    <font>
      <b/>
      <sz val="20"/>
      <color theme="0"/>
      <name val="Calibri"/>
      <family val="2"/>
      <scheme val="minor"/>
    </font>
    <font>
      <sz val="11"/>
      <color theme="0"/>
      <name val="Calibri"/>
      <family val="2"/>
      <scheme val="minor"/>
    </font>
    <font>
      <b/>
      <sz val="18"/>
      <name val="Calibri"/>
      <family val="2"/>
      <scheme val="minor"/>
    </font>
    <font>
      <sz val="18"/>
      <color theme="0"/>
      <name val="Calibri"/>
      <family val="2"/>
      <scheme val="minor"/>
    </font>
    <font>
      <sz val="11"/>
      <name val="Calibri"/>
      <family val="2"/>
      <scheme val="minor"/>
    </font>
    <font>
      <b/>
      <sz val="14"/>
      <color theme="1"/>
      <name val="Calibri"/>
      <family val="2"/>
      <scheme val="minor"/>
    </font>
    <font>
      <b/>
      <sz val="11"/>
      <color theme="1"/>
      <name val="Calibri"/>
      <family val="2"/>
      <scheme val="minor"/>
    </font>
    <font>
      <i/>
      <sz val="11"/>
      <color theme="1" tint="0.34998626667073579"/>
      <name val="Calibri"/>
      <family val="2"/>
      <scheme val="minor"/>
    </font>
    <font>
      <i/>
      <sz val="11"/>
      <color theme="0" tint="-0.499984740745262"/>
      <name val="Calibri"/>
      <family val="2"/>
      <scheme val="minor"/>
    </font>
    <font>
      <b/>
      <sz val="12"/>
      <color theme="1"/>
      <name val="Calibri"/>
      <family val="2"/>
      <scheme val="minor"/>
    </font>
    <font>
      <b/>
      <sz val="11"/>
      <color theme="0"/>
      <name val="Calibri"/>
      <family val="2"/>
      <scheme val="minor"/>
    </font>
    <font>
      <i/>
      <sz val="11"/>
      <name val="Calibri"/>
      <family val="2"/>
      <scheme val="minor"/>
    </font>
    <font>
      <b/>
      <vertAlign val="superscript"/>
      <sz val="11"/>
      <color theme="0"/>
      <name val="Calibri"/>
      <family val="2"/>
      <scheme val="minor"/>
    </font>
    <font>
      <vertAlign val="superscript"/>
      <sz val="11"/>
      <color theme="1"/>
      <name val="Calibri"/>
      <family val="2"/>
      <scheme val="minor"/>
    </font>
    <font>
      <b/>
      <sz val="11"/>
      <name val="Calibri"/>
      <family val="2"/>
      <scheme val="minor"/>
    </font>
    <font>
      <sz val="10"/>
      <name val="Calibri"/>
      <family val="2"/>
      <scheme val="minor"/>
    </font>
    <font>
      <vertAlign val="superscript"/>
      <sz val="11"/>
      <name val="Calibri"/>
      <family val="2"/>
      <scheme val="minor"/>
    </font>
    <font>
      <b/>
      <vertAlign val="superscript"/>
      <sz val="11"/>
      <color theme="1"/>
      <name val="Calibri"/>
      <family val="2"/>
      <scheme val="minor"/>
    </font>
    <font>
      <sz val="11"/>
      <color indexed="8"/>
      <name val="Calibri"/>
      <family val="2"/>
    </font>
    <font>
      <sz val="11"/>
      <name val="Calibri"/>
      <family val="2"/>
    </font>
    <font>
      <sz val="11"/>
      <color rgb="FFFF0000"/>
      <name val="Calibri"/>
      <family val="2"/>
      <scheme val="minor"/>
    </font>
    <font>
      <sz val="12"/>
      <name val="Calibri"/>
      <family val="2"/>
      <scheme val="minor"/>
    </font>
    <font>
      <sz val="11"/>
      <name val="Arial"/>
      <family val="2"/>
    </font>
    <font>
      <vertAlign val="subscript"/>
      <sz val="11"/>
      <name val="Calibri"/>
      <family val="2"/>
      <scheme val="minor"/>
    </font>
    <font>
      <b/>
      <u/>
      <sz val="11"/>
      <name val="Calibri"/>
      <family val="2"/>
      <scheme val="minor"/>
    </font>
    <font>
      <b/>
      <vertAlign val="subscript"/>
      <sz val="11"/>
      <color theme="0"/>
      <name val="Calibri"/>
      <family val="2"/>
      <scheme val="minor"/>
    </font>
    <font>
      <sz val="10"/>
      <color theme="0"/>
      <name val="Arial"/>
      <family val="2"/>
    </font>
    <font>
      <sz val="18"/>
      <name val="Calibri"/>
      <family val="2"/>
      <scheme val="minor"/>
    </font>
    <font>
      <b/>
      <sz val="14"/>
      <name val="Calibri"/>
      <family val="2"/>
      <scheme val="minor"/>
    </font>
    <font>
      <b/>
      <sz val="12"/>
      <name val="Calibri"/>
      <family val="2"/>
      <scheme val="minor"/>
    </font>
    <font>
      <sz val="11"/>
      <color theme="1" tint="0.34998626667073579"/>
      <name val="Calibri"/>
      <family val="2"/>
      <scheme val="minor"/>
    </font>
    <font>
      <b/>
      <i/>
      <sz val="10"/>
      <name val="Arial"/>
      <family val="2"/>
    </font>
    <font>
      <sz val="10"/>
      <color theme="0"/>
      <name val="Calibri"/>
      <family val="2"/>
      <scheme val="minor"/>
    </font>
    <font>
      <b/>
      <sz val="1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b/>
      <sz val="11"/>
      <color rgb="FFFF0000"/>
      <name val="Calibri"/>
      <family val="2"/>
      <scheme val="minor"/>
    </font>
    <font>
      <b/>
      <u/>
      <sz val="11"/>
      <color theme="1"/>
      <name val="Calibri"/>
      <family val="2"/>
      <scheme val="minor"/>
    </font>
    <font>
      <b/>
      <sz val="11"/>
      <color theme="0"/>
      <name val="Calibri"/>
      <family val="2"/>
    </font>
    <font>
      <b/>
      <vertAlign val="superscript"/>
      <sz val="11"/>
      <color theme="0"/>
      <name val="Calibri"/>
      <family val="2"/>
    </font>
    <font>
      <i/>
      <sz val="12"/>
      <color theme="0" tint="-0.499984740745262"/>
      <name val="Calibri"/>
      <family val="2"/>
      <scheme val="minor"/>
    </font>
    <font>
      <i/>
      <vertAlign val="subscript"/>
      <sz val="11"/>
      <color theme="0" tint="-0.499984740745262"/>
      <name val="Calibri"/>
      <family val="2"/>
      <scheme val="minor"/>
    </font>
    <font>
      <u/>
      <sz val="11"/>
      <name val="Calibri"/>
      <family val="2"/>
      <scheme val="minor"/>
    </font>
    <font>
      <u/>
      <vertAlign val="subscript"/>
      <sz val="11"/>
      <name val="Calibri"/>
      <family val="2"/>
      <scheme val="minor"/>
    </font>
    <font>
      <b/>
      <sz val="11"/>
      <color indexed="8"/>
      <name val="Calibri"/>
      <family val="2"/>
    </font>
    <font>
      <i/>
      <vertAlign val="superscript"/>
      <sz val="12"/>
      <color theme="0" tint="-0.499984740745262"/>
      <name val="Calibri"/>
      <family val="2"/>
      <scheme val="minor"/>
    </font>
    <font>
      <i/>
      <sz val="11"/>
      <color rgb="FFFF0000"/>
      <name val="Calibri"/>
      <family val="2"/>
      <scheme val="minor"/>
    </font>
    <font>
      <b/>
      <sz val="30"/>
      <color theme="0"/>
      <name val="Calibri"/>
      <family val="2"/>
      <scheme val="minor"/>
    </font>
    <font>
      <b/>
      <sz val="12"/>
      <color theme="0"/>
      <name val="Calibri"/>
      <family val="2"/>
      <scheme val="minor"/>
    </font>
    <font>
      <b/>
      <i/>
      <sz val="12"/>
      <name val="Arial"/>
      <family val="2"/>
    </font>
    <font>
      <i/>
      <vertAlign val="superscript"/>
      <sz val="10"/>
      <name val="Arial"/>
      <family val="2"/>
    </font>
    <font>
      <sz val="9"/>
      <name val="Arial"/>
      <family val="2"/>
    </font>
    <font>
      <b/>
      <sz val="8"/>
      <name val="Arial"/>
      <family val="2"/>
    </font>
    <font>
      <b/>
      <i/>
      <sz val="9"/>
      <name val="Arial"/>
      <family val="2"/>
    </font>
    <font>
      <b/>
      <sz val="18"/>
      <color rgb="FFFF0000"/>
      <name val="Calibri"/>
      <family val="2"/>
      <scheme val="minor"/>
    </font>
    <font>
      <b/>
      <sz val="10"/>
      <color rgb="FFFF0000"/>
      <name val="Arial"/>
      <family val="2"/>
    </font>
    <font>
      <b/>
      <i/>
      <sz val="10"/>
      <color rgb="FFFF0000"/>
      <name val="Arial"/>
      <family val="2"/>
    </font>
    <font>
      <b/>
      <i/>
      <vertAlign val="superscript"/>
      <sz val="10"/>
      <name val="Arial"/>
      <family val="2"/>
    </font>
    <font>
      <b/>
      <sz val="12"/>
      <color rgb="FFFF0000"/>
      <name val="Calibri"/>
      <family val="2"/>
      <scheme val="minor"/>
    </font>
    <font>
      <sz val="9"/>
      <color indexed="81"/>
      <name val="Tahoma"/>
      <family val="2"/>
    </font>
    <font>
      <b/>
      <sz val="9"/>
      <color indexed="81"/>
      <name val="Tahoma"/>
      <family val="2"/>
    </font>
    <font>
      <b/>
      <i/>
      <sz val="11"/>
      <color rgb="FFFF0000"/>
      <name val="Calibri"/>
      <family val="2"/>
      <scheme val="minor"/>
    </font>
    <font>
      <b/>
      <sz val="10"/>
      <color rgb="FFFF0000"/>
      <name val="Calibri"/>
      <family val="2"/>
      <scheme val="minor"/>
    </font>
    <font>
      <i/>
      <sz val="12"/>
      <color rgb="FFFF0000"/>
      <name val="Calibri"/>
      <family val="2"/>
      <scheme val="minor"/>
    </font>
    <font>
      <b/>
      <u/>
      <sz val="12"/>
      <color indexed="12"/>
      <name val="Arial"/>
      <family val="2"/>
    </font>
    <font>
      <b/>
      <sz val="16"/>
      <name val="Calibri"/>
      <family val="2"/>
      <scheme val="minor"/>
    </font>
    <font>
      <sz val="14"/>
      <color theme="1"/>
      <name val="Calibri"/>
      <family val="2"/>
      <scheme val="minor"/>
    </font>
    <font>
      <sz val="9"/>
      <name val="Calibri"/>
      <family val="2"/>
      <scheme val="minor"/>
    </font>
    <font>
      <sz val="8"/>
      <name val="Calibri"/>
      <family val="2"/>
      <scheme val="minor"/>
    </font>
    <font>
      <b/>
      <sz val="10"/>
      <color theme="0"/>
      <name val="Calibri"/>
      <family val="2"/>
      <scheme val="minor"/>
    </font>
    <font>
      <b/>
      <sz val="9"/>
      <name val="Calibri"/>
      <family val="2"/>
      <scheme val="minor"/>
    </font>
    <font>
      <b/>
      <sz val="8"/>
      <name val="Calibri"/>
      <family val="2"/>
      <scheme val="minor"/>
    </font>
    <font>
      <b/>
      <sz val="10"/>
      <color theme="1"/>
      <name val="Arial"/>
      <family val="2"/>
    </font>
    <font>
      <sz val="10"/>
      <color theme="1"/>
      <name val="Arial"/>
      <family val="2"/>
    </font>
    <font>
      <b/>
      <sz val="14"/>
      <color theme="0"/>
      <name val="Calibri"/>
      <family val="2"/>
      <scheme val="minor"/>
    </font>
    <font>
      <b/>
      <sz val="16"/>
      <color theme="0"/>
      <name val="Calibri"/>
      <family val="2"/>
      <scheme val="minor"/>
    </font>
    <font>
      <b/>
      <sz val="14"/>
      <color theme="0"/>
      <name val="Arial"/>
      <family val="2"/>
    </font>
    <font>
      <b/>
      <sz val="10"/>
      <color theme="0"/>
      <name val="Arial"/>
      <family val="2"/>
    </font>
    <font>
      <b/>
      <sz val="16"/>
      <color rgb="FFFF0000"/>
      <name val="Calibri"/>
      <family val="2"/>
      <scheme val="minor"/>
    </font>
    <font>
      <b/>
      <sz val="14"/>
      <color rgb="FFFF0000"/>
      <name val="Calibri"/>
      <family val="2"/>
      <scheme val="minor"/>
    </font>
    <font>
      <sz val="11"/>
      <color theme="0" tint="-0.499984740745262"/>
      <name val="Calibri"/>
      <family val="2"/>
      <scheme val="minor"/>
    </font>
    <font>
      <b/>
      <sz val="16"/>
      <name val="Arial"/>
      <family val="2"/>
    </font>
    <font>
      <b/>
      <i/>
      <sz val="11"/>
      <name val="Calibri"/>
      <family val="2"/>
      <scheme val="minor"/>
    </font>
    <font>
      <b/>
      <i/>
      <u/>
      <sz val="11"/>
      <name val="Calibri"/>
      <family val="2"/>
      <scheme val="minor"/>
    </font>
    <font>
      <b/>
      <i/>
      <sz val="11"/>
      <color rgb="FFFF0000"/>
      <name val="Calibri"/>
      <family val="2"/>
    </font>
    <font>
      <b/>
      <i/>
      <u/>
      <sz val="11"/>
      <color rgb="FFFF0000"/>
      <name val="Calibri"/>
      <family val="2"/>
      <scheme val="minor"/>
    </font>
    <font>
      <sz val="10"/>
      <color rgb="FFFF0000"/>
      <name val="Arial"/>
      <family val="2"/>
    </font>
    <font>
      <sz val="11"/>
      <color rgb="FFFF0000"/>
      <name val="Arial"/>
      <family val="2"/>
    </font>
    <font>
      <b/>
      <i/>
      <u/>
      <sz val="10"/>
      <color rgb="FFFF0000"/>
      <name val="Arial"/>
      <family val="2"/>
    </font>
    <font>
      <i/>
      <sz val="9"/>
      <name val="Arial"/>
      <family val="2"/>
    </font>
    <font>
      <sz val="12"/>
      <color theme="1"/>
      <name val="Calibri"/>
      <family val="2"/>
      <scheme val="minor"/>
    </font>
    <font>
      <b/>
      <sz val="11"/>
      <color rgb="FFFFFF00"/>
      <name val="Calibri"/>
      <family val="2"/>
      <scheme val="minor"/>
    </font>
    <font>
      <sz val="10"/>
      <name val="Calibri"/>
      <family val="2"/>
    </font>
    <font>
      <sz val="10"/>
      <color theme="1"/>
      <name val="Calibri"/>
      <family val="2"/>
      <scheme val="minor"/>
    </font>
  </fonts>
  <fills count="61">
    <fill>
      <patternFill patternType="none"/>
    </fill>
    <fill>
      <patternFill patternType="gray125"/>
    </fill>
    <fill>
      <patternFill patternType="solid">
        <fgColor theme="7" tint="-0.249977111117893"/>
        <bgColor indexed="64"/>
      </patternFill>
    </fill>
    <fill>
      <patternFill patternType="solid">
        <fgColor theme="7" tint="0.39997558519241921"/>
        <bgColor indexed="64"/>
      </patternFill>
    </fill>
    <fill>
      <patternFill patternType="solid">
        <fgColor theme="0"/>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7" tint="-0.499984740745262"/>
        <bgColor indexed="64"/>
      </patternFill>
    </fill>
    <fill>
      <patternFill patternType="solid">
        <fgColor theme="0" tint="-0.14999847407452621"/>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7" tint="0.79998168889431442"/>
        <bgColor indexed="64"/>
      </patternFill>
    </fill>
    <fill>
      <patternFill patternType="solid">
        <fgColor theme="0" tint="-0.249977111117893"/>
        <bgColor indexed="64"/>
      </patternFill>
    </fill>
    <fill>
      <patternFill patternType="solid">
        <fgColor theme="8" tint="0.39997558519241921"/>
        <bgColor indexed="64"/>
      </patternFill>
    </fill>
    <fill>
      <patternFill patternType="solid">
        <fgColor theme="7"/>
        <bgColor indexed="64"/>
      </patternFill>
    </fill>
    <fill>
      <patternFill patternType="solid">
        <fgColor theme="5" tint="0.59999389629810485"/>
        <bgColor indexed="64"/>
      </patternFill>
    </fill>
    <fill>
      <patternFill patternType="solid">
        <fgColor theme="1" tint="0.34998626667073579"/>
        <bgColor indexed="64"/>
      </patternFill>
    </fill>
    <fill>
      <patternFill patternType="solid">
        <fgColor rgb="FFFFFF99"/>
        <bgColor indexed="64"/>
      </patternFill>
    </fill>
    <fill>
      <patternFill patternType="solid">
        <fgColor theme="9" tint="0.39997558519241921"/>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4" tint="0.39997558519241921"/>
        <bgColor indexed="64"/>
      </patternFill>
    </fill>
    <fill>
      <patternFill patternType="solid">
        <fgColor theme="0" tint="-0.34998626667073579"/>
        <bgColor indexed="64"/>
      </patternFill>
    </fill>
    <fill>
      <patternFill patternType="solid">
        <fgColor theme="9" tint="-0.249977111117893"/>
        <bgColor indexed="64"/>
      </patternFill>
    </fill>
    <fill>
      <patternFill patternType="solid">
        <fgColor theme="5" tint="-0.249977111117893"/>
        <bgColor indexed="64"/>
      </patternFill>
    </fill>
    <fill>
      <patternFill patternType="solid">
        <fgColor rgb="FFCCCCFF"/>
        <bgColor indexed="64"/>
      </patternFill>
    </fill>
    <fill>
      <patternFill patternType="solid">
        <fgColor theme="3" tint="0.39997558519241921"/>
        <bgColor indexed="64"/>
      </patternFill>
    </fill>
    <fill>
      <patternFill patternType="solid">
        <fgColor theme="3" tint="-0.249977111117893"/>
        <bgColor indexed="64"/>
      </patternFill>
    </fill>
    <fill>
      <patternFill patternType="solid">
        <fgColor rgb="FF00B050"/>
        <bgColor indexed="64"/>
      </patternFill>
    </fill>
  </fills>
  <borders count="136">
    <border>
      <left/>
      <right/>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top/>
      <bottom style="double">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style="medium">
        <color indexed="64"/>
      </right>
      <top style="medium">
        <color indexed="64"/>
      </top>
      <bottom style="double">
        <color indexed="64"/>
      </bottom>
      <diagonal/>
    </border>
    <border>
      <left style="thin">
        <color indexed="64"/>
      </left>
      <right style="medium">
        <color indexed="64"/>
      </right>
      <top/>
      <bottom/>
      <diagonal/>
    </border>
    <border>
      <left/>
      <right/>
      <top/>
      <bottom style="thin">
        <color indexed="64"/>
      </bottom>
      <diagonal/>
    </border>
    <border>
      <left style="thin">
        <color indexed="64"/>
      </left>
      <right style="medium">
        <color indexed="64"/>
      </right>
      <top/>
      <bottom style="thin">
        <color indexed="64"/>
      </bottom>
      <diagonal/>
    </border>
    <border>
      <left style="medium">
        <color indexed="64"/>
      </left>
      <right/>
      <top/>
      <bottom style="double">
        <color indexed="64"/>
      </bottom>
      <diagonal/>
    </border>
    <border>
      <left/>
      <right style="medium">
        <color indexed="64"/>
      </right>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medium">
        <color indexed="64"/>
      </bottom>
      <diagonal/>
    </border>
    <border>
      <left/>
      <right style="medium">
        <color indexed="64"/>
      </right>
      <top/>
      <bottom style="thin">
        <color indexed="64"/>
      </bottom>
      <diagonal/>
    </border>
    <border>
      <left style="thin">
        <color auto="1"/>
      </left>
      <right style="thin">
        <color auto="1"/>
      </right>
      <top style="thin">
        <color auto="1"/>
      </top>
      <bottom style="thin">
        <color theme="7" tint="-0.499984740745262"/>
      </bottom>
      <diagonal/>
    </border>
    <border>
      <left style="thin">
        <color auto="1"/>
      </left>
      <right style="thin">
        <color auto="1"/>
      </right>
      <top style="thin">
        <color theme="7" tint="-0.499984740745262"/>
      </top>
      <bottom style="thin">
        <color theme="7" tint="-0.499984740745262"/>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theme="7" tint="-0.499984740745262"/>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theme="0"/>
      </right>
      <top style="medium">
        <color indexed="64"/>
      </top>
      <bottom style="medium">
        <color indexed="64"/>
      </bottom>
      <diagonal/>
    </border>
    <border>
      <left style="medium">
        <color indexed="64"/>
      </left>
      <right style="thin">
        <color indexed="64"/>
      </right>
      <top style="medium">
        <color indexed="64"/>
      </top>
      <bottom/>
      <diagonal/>
    </border>
    <border>
      <left/>
      <right/>
      <top style="thin">
        <color indexed="64"/>
      </top>
      <bottom style="double">
        <color indexed="64"/>
      </bottom>
      <diagonal/>
    </border>
    <border>
      <left style="thin">
        <color indexed="64"/>
      </left>
      <right/>
      <top/>
      <bottom style="medium">
        <color indexed="64"/>
      </bottom>
      <diagonal/>
    </border>
    <border>
      <left style="medium">
        <color indexed="64"/>
      </left>
      <right/>
      <top style="thin">
        <color indexed="64"/>
      </top>
      <bottom style="double">
        <color indexed="64"/>
      </bottom>
      <diagonal/>
    </border>
    <border>
      <left style="thin">
        <color indexed="64"/>
      </left>
      <right/>
      <top style="medium">
        <color indexed="64"/>
      </top>
      <bottom/>
      <diagonal/>
    </border>
    <border>
      <left/>
      <right style="thin">
        <color indexed="64"/>
      </right>
      <top/>
      <bottom style="medium">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medium">
        <color indexed="64"/>
      </left>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style="thin">
        <color indexed="64"/>
      </top>
      <bottom style="double">
        <color indexed="64"/>
      </bottom>
      <diagonal/>
    </border>
    <border>
      <left/>
      <right style="medium">
        <color indexed="64"/>
      </right>
      <top style="double">
        <color indexed="64"/>
      </top>
      <bottom style="medium">
        <color indexed="64"/>
      </bottom>
      <diagonal/>
    </border>
    <border>
      <left style="medium">
        <color indexed="64"/>
      </left>
      <right style="thin">
        <color indexed="64"/>
      </right>
      <top style="double">
        <color indexed="64"/>
      </top>
      <bottom style="double">
        <color indexed="64"/>
      </bottom>
      <diagonal/>
    </border>
    <border>
      <left style="medium">
        <color indexed="64"/>
      </left>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right style="thin">
        <color indexed="64"/>
      </right>
      <top style="double">
        <color indexed="64"/>
      </top>
      <bottom style="double">
        <color indexed="64"/>
      </bottom>
      <diagonal/>
    </border>
    <border>
      <left/>
      <right style="medium">
        <color indexed="64"/>
      </right>
      <top style="double">
        <color indexed="64"/>
      </top>
      <bottom style="double">
        <color indexed="64"/>
      </bottom>
      <diagonal/>
    </border>
    <border>
      <left style="medium">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style="thin">
        <color indexed="64"/>
      </right>
      <top style="medium">
        <color indexed="64"/>
      </top>
      <bottom style="double">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thin">
        <color indexed="64"/>
      </top>
      <bottom style="double">
        <color indexed="64"/>
      </bottom>
      <diagonal/>
    </border>
    <border>
      <left style="medium">
        <color indexed="64"/>
      </left>
      <right style="thin">
        <color theme="0"/>
      </right>
      <top style="medium">
        <color indexed="64"/>
      </top>
      <bottom style="thin">
        <color indexed="64"/>
      </bottom>
      <diagonal/>
    </border>
    <border>
      <left style="medium">
        <color indexed="64"/>
      </left>
      <right style="thin">
        <color theme="0"/>
      </right>
      <top style="medium">
        <color indexed="64"/>
      </top>
      <bottom style="thin">
        <color theme="0"/>
      </bottom>
      <diagonal/>
    </border>
    <border>
      <left style="thin">
        <color indexed="64"/>
      </left>
      <right style="medium">
        <color indexed="64"/>
      </right>
      <top style="medium">
        <color indexed="64"/>
      </top>
      <bottom style="thin">
        <color theme="0"/>
      </bottom>
      <diagonal/>
    </border>
    <border>
      <left style="thin">
        <color theme="0"/>
      </left>
      <right style="thin">
        <color theme="0"/>
      </right>
      <top style="medium">
        <color indexed="64"/>
      </top>
      <bottom style="thin">
        <color indexed="64"/>
      </bottom>
      <diagonal/>
    </border>
    <border>
      <left style="thin">
        <color theme="0"/>
      </left>
      <right style="medium">
        <color indexed="64"/>
      </right>
      <top style="medium">
        <color indexed="64"/>
      </top>
      <bottom style="thin">
        <color indexed="64"/>
      </bottom>
      <diagonal/>
    </border>
    <border>
      <left style="medium">
        <color indexed="64"/>
      </left>
      <right style="medium">
        <color indexed="64"/>
      </right>
      <top style="medium">
        <color indexed="64"/>
      </top>
      <bottom style="double">
        <color indexed="64"/>
      </bottom>
      <diagonal/>
    </border>
    <border>
      <left style="thin">
        <color indexed="64"/>
      </left>
      <right style="thin">
        <color indexed="64"/>
      </right>
      <top style="double">
        <color indexed="64"/>
      </top>
      <bottom style="medium">
        <color indexed="64"/>
      </bottom>
      <diagonal/>
    </border>
    <border>
      <left/>
      <right style="thin">
        <color indexed="64"/>
      </right>
      <top style="medium">
        <color indexed="64"/>
      </top>
      <bottom style="double">
        <color indexed="64"/>
      </bottom>
      <diagonal/>
    </border>
    <border>
      <left style="medium">
        <color indexed="64"/>
      </left>
      <right style="thin">
        <color auto="1"/>
      </right>
      <top style="thin">
        <color theme="7" tint="-0.499984740745262"/>
      </top>
      <bottom style="medium">
        <color indexed="64"/>
      </bottom>
      <diagonal/>
    </border>
    <border>
      <left style="thin">
        <color auto="1"/>
      </left>
      <right style="thin">
        <color auto="1"/>
      </right>
      <top style="thin">
        <color theme="7" tint="-0.499984740745262"/>
      </top>
      <bottom style="medium">
        <color indexed="64"/>
      </bottom>
      <diagonal/>
    </border>
    <border>
      <left style="thin">
        <color theme="1"/>
      </left>
      <right style="thin">
        <color theme="1"/>
      </right>
      <top style="thin">
        <color theme="1"/>
      </top>
      <bottom style="thin">
        <color theme="1"/>
      </bottom>
      <diagonal/>
    </border>
    <border>
      <left style="thin">
        <color theme="1"/>
      </left>
      <right style="thin">
        <color theme="1"/>
      </right>
      <top/>
      <bottom style="thin">
        <color theme="1"/>
      </bottom>
      <diagonal/>
    </border>
  </borders>
  <cellStyleXfs count="332">
    <xf numFmtId="0" fontId="0" fillId="0" borderId="0"/>
    <xf numFmtId="0" fontId="19" fillId="0" borderId="0" applyNumberFormat="0" applyFill="0" applyBorder="0" applyAlignment="0" applyProtection="0">
      <alignment vertical="top"/>
      <protection locked="0"/>
    </xf>
    <xf numFmtId="9" fontId="15" fillId="0" borderId="0" applyFont="0" applyFill="0" applyBorder="0" applyAlignment="0" applyProtection="0"/>
    <xf numFmtId="9" fontId="25" fillId="0" borderId="0" applyFont="0" applyFill="0" applyBorder="0" applyAlignment="0" applyProtection="0"/>
    <xf numFmtId="0" fontId="15" fillId="0" borderId="0"/>
    <xf numFmtId="0" fontId="15" fillId="0" borderId="0"/>
    <xf numFmtId="0" fontId="25" fillId="0" borderId="0"/>
    <xf numFmtId="0" fontId="45" fillId="0" borderId="0"/>
    <xf numFmtId="43" fontId="15" fillId="0" borderId="0" applyFont="0" applyFill="0" applyBorder="0" applyAlignment="0" applyProtection="0"/>
    <xf numFmtId="43" fontId="45" fillId="0" borderId="0" applyFont="0" applyFill="0" applyBorder="0" applyAlignment="0" applyProtection="0"/>
    <xf numFmtId="43" fontId="15" fillId="0" borderId="0" applyFont="0" applyFill="0" applyBorder="0" applyAlignment="0" applyProtection="0"/>
    <xf numFmtId="0" fontId="15" fillId="0" borderId="0"/>
    <xf numFmtId="9" fontId="45" fillId="0" borderId="0" applyFont="0" applyFill="0" applyBorder="0" applyAlignment="0" applyProtection="0"/>
    <xf numFmtId="9" fontId="15" fillId="0" borderId="0" applyFont="0" applyFill="0" applyBorder="0" applyAlignment="0" applyProtection="0"/>
    <xf numFmtId="0" fontId="61" fillId="0" borderId="0" applyNumberFormat="0" applyFill="0" applyBorder="0" applyAlignment="0" applyProtection="0"/>
    <xf numFmtId="0" fontId="62" fillId="0" borderId="56" applyNumberFormat="0" applyFill="0" applyAlignment="0" applyProtection="0"/>
    <xf numFmtId="0" fontId="63" fillId="0" borderId="57" applyNumberFormat="0" applyFill="0" applyAlignment="0" applyProtection="0"/>
    <xf numFmtId="0" fontId="64" fillId="0" borderId="58" applyNumberFormat="0" applyFill="0" applyAlignment="0" applyProtection="0"/>
    <xf numFmtId="0" fontId="64" fillId="0" borderId="0" applyNumberFormat="0" applyFill="0" applyBorder="0" applyAlignment="0" applyProtection="0"/>
    <xf numFmtId="0" fontId="65" fillId="12" borderId="0" applyNumberFormat="0" applyBorder="0" applyAlignment="0" applyProtection="0"/>
    <xf numFmtId="0" fontId="66" fillId="13" borderId="0" applyNumberFormat="0" applyBorder="0" applyAlignment="0" applyProtection="0"/>
    <xf numFmtId="0" fontId="67" fillId="14" borderId="0" applyNumberFormat="0" applyBorder="0" applyAlignment="0" applyProtection="0"/>
    <xf numFmtId="0" fontId="68" fillId="15" borderId="59" applyNumberFormat="0" applyAlignment="0" applyProtection="0"/>
    <xf numFmtId="0" fontId="69" fillId="16" borderId="60" applyNumberFormat="0" applyAlignment="0" applyProtection="0"/>
    <xf numFmtId="0" fontId="70" fillId="16" borderId="59" applyNumberFormat="0" applyAlignment="0" applyProtection="0"/>
    <xf numFmtId="0" fontId="71" fillId="0" borderId="61" applyNumberFormat="0" applyFill="0" applyAlignment="0" applyProtection="0"/>
    <xf numFmtId="0" fontId="37" fillId="17" borderId="62" applyNumberFormat="0" applyAlignment="0" applyProtection="0"/>
    <xf numFmtId="0" fontId="47" fillId="0" borderId="0" applyNumberFormat="0" applyFill="0" applyBorder="0" applyAlignment="0" applyProtection="0"/>
    <xf numFmtId="0" fontId="72" fillId="0" borderId="0" applyNumberFormat="0" applyFill="0" applyBorder="0" applyAlignment="0" applyProtection="0"/>
    <xf numFmtId="0" fontId="33" fillId="0" borderId="64" applyNumberFormat="0" applyFill="0" applyAlignment="0" applyProtection="0"/>
    <xf numFmtId="0" fontId="28" fillId="19"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28" fillId="22" borderId="0" applyNumberFormat="0" applyBorder="0" applyAlignment="0" applyProtection="0"/>
    <xf numFmtId="0" fontId="28" fillId="23"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28" fillId="26" borderId="0" applyNumberFormat="0" applyBorder="0" applyAlignment="0" applyProtection="0"/>
    <xf numFmtId="0" fontId="28" fillId="27"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28" fillId="30" borderId="0" applyNumberFormat="0" applyBorder="0" applyAlignment="0" applyProtection="0"/>
    <xf numFmtId="0" fontId="28" fillId="31"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28" fillId="34" borderId="0" applyNumberFormat="0" applyBorder="0" applyAlignment="0" applyProtection="0"/>
    <xf numFmtId="0" fontId="28" fillId="35"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28" fillId="38" borderId="0" applyNumberFormat="0" applyBorder="0" applyAlignment="0" applyProtection="0"/>
    <xf numFmtId="0" fontId="28" fillId="39" borderId="0" applyNumberFormat="0" applyBorder="0" applyAlignment="0" applyProtection="0"/>
    <xf numFmtId="0" fontId="10" fillId="40" borderId="0" applyNumberFormat="0" applyBorder="0" applyAlignment="0" applyProtection="0"/>
    <xf numFmtId="0" fontId="10" fillId="41" borderId="0" applyNumberFormat="0" applyBorder="0" applyAlignment="0" applyProtection="0"/>
    <xf numFmtId="0" fontId="28" fillId="42" borderId="0" applyNumberFormat="0" applyBorder="0" applyAlignment="0" applyProtection="0"/>
    <xf numFmtId="0" fontId="10" fillId="0" borderId="0"/>
    <xf numFmtId="9" fontId="10" fillId="0" borderId="0" applyFont="0" applyFill="0" applyBorder="0" applyAlignment="0" applyProtection="0"/>
    <xf numFmtId="0" fontId="45" fillId="0" borderId="0"/>
    <xf numFmtId="43" fontId="10" fillId="0" borderId="0" applyFont="0" applyFill="0" applyBorder="0" applyAlignment="0" applyProtection="0"/>
    <xf numFmtId="0" fontId="10" fillId="18" borderId="63" applyNumberFormat="0" applyFont="0" applyAlignment="0" applyProtection="0"/>
    <xf numFmtId="0" fontId="9" fillId="20" borderId="0" applyNumberFormat="0" applyBorder="0" applyAlignment="0" applyProtection="0"/>
    <xf numFmtId="0" fontId="9" fillId="21"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40" borderId="0" applyNumberFormat="0" applyBorder="0" applyAlignment="0" applyProtection="0"/>
    <xf numFmtId="0" fontId="9" fillId="41" borderId="0" applyNumberFormat="0" applyBorder="0" applyAlignment="0" applyProtection="0"/>
    <xf numFmtId="0" fontId="9" fillId="0" borderId="0"/>
    <xf numFmtId="9" fontId="9" fillId="0" borderId="0" applyFont="0" applyFill="0" applyBorder="0" applyAlignment="0" applyProtection="0"/>
    <xf numFmtId="43" fontId="9" fillId="0" borderId="0" applyFont="0" applyFill="0" applyBorder="0" applyAlignment="0" applyProtection="0"/>
    <xf numFmtId="0" fontId="9" fillId="18" borderId="63" applyNumberFormat="0" applyFont="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0" borderId="0"/>
    <xf numFmtId="9" fontId="6" fillId="0" borderId="0" applyFont="0" applyFill="0" applyBorder="0" applyAlignment="0" applyProtection="0"/>
    <xf numFmtId="43" fontId="6" fillId="0" borderId="0" applyFont="0" applyFill="0" applyBorder="0" applyAlignment="0" applyProtection="0"/>
    <xf numFmtId="0" fontId="6" fillId="18" borderId="63" applyNumberFormat="0" applyFont="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0" borderId="0"/>
    <xf numFmtId="9" fontId="6" fillId="0" borderId="0" applyFont="0" applyFill="0" applyBorder="0" applyAlignment="0" applyProtection="0"/>
    <xf numFmtId="43" fontId="6" fillId="0" borderId="0" applyFont="0" applyFill="0" applyBorder="0" applyAlignment="0" applyProtection="0"/>
    <xf numFmtId="0" fontId="6" fillId="18" borderId="63" applyNumberFormat="0" applyFont="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5" fillId="0" borderId="0"/>
    <xf numFmtId="9" fontId="5" fillId="0" borderId="0" applyFont="0" applyFill="0" applyBorder="0" applyAlignment="0" applyProtection="0"/>
    <xf numFmtId="43" fontId="5" fillId="0" borderId="0" applyFont="0" applyFill="0" applyBorder="0" applyAlignment="0" applyProtection="0"/>
    <xf numFmtId="0" fontId="5" fillId="18" borderId="63" applyNumberFormat="0" applyFont="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5" fillId="0" borderId="0"/>
    <xf numFmtId="9" fontId="5" fillId="0" borderId="0" applyFont="0" applyFill="0" applyBorder="0" applyAlignment="0" applyProtection="0"/>
    <xf numFmtId="43" fontId="5" fillId="0" borderId="0" applyFont="0" applyFill="0" applyBorder="0" applyAlignment="0" applyProtection="0"/>
    <xf numFmtId="0" fontId="5" fillId="18" borderId="63" applyNumberFormat="0" applyFont="0" applyAlignment="0" applyProtection="0"/>
    <xf numFmtId="0" fontId="4" fillId="20" borderId="0" applyNumberFormat="0" applyBorder="0" applyAlignment="0" applyProtection="0"/>
    <xf numFmtId="0" fontId="4" fillId="21"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36" borderId="0" applyNumberFormat="0" applyBorder="0" applyAlignment="0" applyProtection="0"/>
    <xf numFmtId="0" fontId="4" fillId="37" borderId="0" applyNumberFormat="0" applyBorder="0" applyAlignment="0" applyProtection="0"/>
    <xf numFmtId="0" fontId="4" fillId="40" borderId="0" applyNumberFormat="0" applyBorder="0" applyAlignment="0" applyProtection="0"/>
    <xf numFmtId="0" fontId="4" fillId="41" borderId="0" applyNumberFormat="0" applyBorder="0" applyAlignment="0" applyProtection="0"/>
    <xf numFmtId="0" fontId="4" fillId="0" borderId="0"/>
    <xf numFmtId="9" fontId="4" fillId="0" borderId="0" applyFont="0" applyFill="0" applyBorder="0" applyAlignment="0" applyProtection="0"/>
    <xf numFmtId="43" fontId="4" fillId="0" borderId="0" applyFont="0" applyFill="0" applyBorder="0" applyAlignment="0" applyProtection="0"/>
    <xf numFmtId="0" fontId="4" fillId="18" borderId="63" applyNumberFormat="0" applyFont="0" applyAlignment="0" applyProtection="0"/>
    <xf numFmtId="0" fontId="4" fillId="20" borderId="0" applyNumberFormat="0" applyBorder="0" applyAlignment="0" applyProtection="0"/>
    <xf numFmtId="0" fontId="4" fillId="21"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36" borderId="0" applyNumberFormat="0" applyBorder="0" applyAlignment="0" applyProtection="0"/>
    <xf numFmtId="0" fontId="4" fillId="37" borderId="0" applyNumberFormat="0" applyBorder="0" applyAlignment="0" applyProtection="0"/>
    <xf numFmtId="0" fontId="4" fillId="40" borderId="0" applyNumberFormat="0" applyBorder="0" applyAlignment="0" applyProtection="0"/>
    <xf numFmtId="0" fontId="4" fillId="41" borderId="0" applyNumberFormat="0" applyBorder="0" applyAlignment="0" applyProtection="0"/>
    <xf numFmtId="0" fontId="4" fillId="0" borderId="0"/>
    <xf numFmtId="9" fontId="4" fillId="0" borderId="0" applyFont="0" applyFill="0" applyBorder="0" applyAlignment="0" applyProtection="0"/>
    <xf numFmtId="43" fontId="4" fillId="0" borderId="0" applyFont="0" applyFill="0" applyBorder="0" applyAlignment="0" applyProtection="0"/>
    <xf numFmtId="0" fontId="4" fillId="18" borderId="63" applyNumberFormat="0" applyFont="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40" borderId="0" applyNumberFormat="0" applyBorder="0" applyAlignment="0" applyProtection="0"/>
    <xf numFmtId="0" fontId="3" fillId="41" borderId="0" applyNumberFormat="0" applyBorder="0" applyAlignment="0" applyProtection="0"/>
    <xf numFmtId="0" fontId="3" fillId="0" borderId="0"/>
    <xf numFmtId="9" fontId="3" fillId="0" borderId="0" applyFont="0" applyFill="0" applyBorder="0" applyAlignment="0" applyProtection="0"/>
    <xf numFmtId="43" fontId="3" fillId="0" borderId="0" applyFont="0" applyFill="0" applyBorder="0" applyAlignment="0" applyProtection="0"/>
    <xf numFmtId="0" fontId="3" fillId="18" borderId="63" applyNumberFormat="0" applyFont="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40" borderId="0" applyNumberFormat="0" applyBorder="0" applyAlignment="0" applyProtection="0"/>
    <xf numFmtId="0" fontId="3" fillId="41" borderId="0" applyNumberFormat="0" applyBorder="0" applyAlignment="0" applyProtection="0"/>
    <xf numFmtId="0" fontId="3" fillId="0" borderId="0"/>
    <xf numFmtId="9" fontId="3" fillId="0" borderId="0" applyFont="0" applyFill="0" applyBorder="0" applyAlignment="0" applyProtection="0"/>
    <xf numFmtId="43" fontId="3" fillId="0" borderId="0" applyFont="0" applyFill="0" applyBorder="0" applyAlignment="0" applyProtection="0"/>
    <xf numFmtId="0" fontId="3" fillId="18" borderId="63" applyNumberFormat="0" applyFont="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40" borderId="0" applyNumberFormat="0" applyBorder="0" applyAlignment="0" applyProtection="0"/>
    <xf numFmtId="0" fontId="3" fillId="41" borderId="0" applyNumberFormat="0" applyBorder="0" applyAlignment="0" applyProtection="0"/>
    <xf numFmtId="0" fontId="3" fillId="0" borderId="0"/>
    <xf numFmtId="9" fontId="3" fillId="0" borderId="0" applyFont="0" applyFill="0" applyBorder="0" applyAlignment="0" applyProtection="0"/>
    <xf numFmtId="43" fontId="3" fillId="0" borderId="0" applyFont="0" applyFill="0" applyBorder="0" applyAlignment="0" applyProtection="0"/>
    <xf numFmtId="0" fontId="3" fillId="18" borderId="63" applyNumberFormat="0" applyFont="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40" borderId="0" applyNumberFormat="0" applyBorder="0" applyAlignment="0" applyProtection="0"/>
    <xf numFmtId="0" fontId="3" fillId="41" borderId="0" applyNumberFormat="0" applyBorder="0" applyAlignment="0" applyProtection="0"/>
    <xf numFmtId="0" fontId="3" fillId="0" borderId="0"/>
    <xf numFmtId="9" fontId="3" fillId="0" borderId="0" applyFont="0" applyFill="0" applyBorder="0" applyAlignment="0" applyProtection="0"/>
    <xf numFmtId="43" fontId="3" fillId="0" borderId="0" applyFont="0" applyFill="0" applyBorder="0" applyAlignment="0" applyProtection="0"/>
    <xf numFmtId="0" fontId="3" fillId="18" borderId="63" applyNumberFormat="0" applyFont="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40" borderId="0" applyNumberFormat="0" applyBorder="0" applyAlignment="0" applyProtection="0"/>
    <xf numFmtId="0" fontId="3" fillId="41" borderId="0" applyNumberFormat="0" applyBorder="0" applyAlignment="0" applyProtection="0"/>
    <xf numFmtId="0" fontId="3" fillId="0" borderId="0"/>
    <xf numFmtId="9" fontId="3" fillId="0" borderId="0" applyFont="0" applyFill="0" applyBorder="0" applyAlignment="0" applyProtection="0"/>
    <xf numFmtId="43" fontId="3" fillId="0" borderId="0" applyFont="0" applyFill="0" applyBorder="0" applyAlignment="0" applyProtection="0"/>
    <xf numFmtId="0" fontId="3" fillId="18" borderId="63" applyNumberFormat="0" applyFont="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40" borderId="0" applyNumberFormat="0" applyBorder="0" applyAlignment="0" applyProtection="0"/>
    <xf numFmtId="0" fontId="3" fillId="41" borderId="0" applyNumberFormat="0" applyBorder="0" applyAlignment="0" applyProtection="0"/>
    <xf numFmtId="0" fontId="3" fillId="0" borderId="0"/>
    <xf numFmtId="9" fontId="3" fillId="0" borderId="0" applyFont="0" applyFill="0" applyBorder="0" applyAlignment="0" applyProtection="0"/>
    <xf numFmtId="43" fontId="3" fillId="0" borderId="0" applyFont="0" applyFill="0" applyBorder="0" applyAlignment="0" applyProtection="0"/>
    <xf numFmtId="0" fontId="3" fillId="18" borderId="63" applyNumberFormat="0" applyFont="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40" borderId="0" applyNumberFormat="0" applyBorder="0" applyAlignment="0" applyProtection="0"/>
    <xf numFmtId="0" fontId="3" fillId="41" borderId="0" applyNumberFormat="0" applyBorder="0" applyAlignment="0" applyProtection="0"/>
    <xf numFmtId="0" fontId="3" fillId="0" borderId="0"/>
    <xf numFmtId="9" fontId="3" fillId="0" borderId="0" applyFont="0" applyFill="0" applyBorder="0" applyAlignment="0" applyProtection="0"/>
    <xf numFmtId="43" fontId="3" fillId="0" borderId="0" applyFont="0" applyFill="0" applyBorder="0" applyAlignment="0" applyProtection="0"/>
    <xf numFmtId="0" fontId="3" fillId="18" borderId="63" applyNumberFormat="0" applyFont="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40" borderId="0" applyNumberFormat="0" applyBorder="0" applyAlignment="0" applyProtection="0"/>
    <xf numFmtId="0" fontId="3" fillId="41" borderId="0" applyNumberFormat="0" applyBorder="0" applyAlignment="0" applyProtection="0"/>
    <xf numFmtId="0" fontId="3" fillId="0" borderId="0"/>
    <xf numFmtId="9" fontId="3" fillId="0" borderId="0" applyFont="0" applyFill="0" applyBorder="0" applyAlignment="0" applyProtection="0"/>
    <xf numFmtId="43" fontId="3" fillId="0" borderId="0" applyFont="0" applyFill="0" applyBorder="0" applyAlignment="0" applyProtection="0"/>
    <xf numFmtId="0" fontId="3" fillId="18" borderId="63" applyNumberFormat="0" applyFont="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40" borderId="0" applyNumberFormat="0" applyBorder="0" applyAlignment="0" applyProtection="0"/>
    <xf numFmtId="0" fontId="3" fillId="41" borderId="0" applyNumberFormat="0" applyBorder="0" applyAlignment="0" applyProtection="0"/>
    <xf numFmtId="0" fontId="3" fillId="0" borderId="0"/>
    <xf numFmtId="9" fontId="3" fillId="0" borderId="0" applyFont="0" applyFill="0" applyBorder="0" applyAlignment="0" applyProtection="0"/>
    <xf numFmtId="43" fontId="3" fillId="0" borderId="0" applyFont="0" applyFill="0" applyBorder="0" applyAlignment="0" applyProtection="0"/>
    <xf numFmtId="0" fontId="3" fillId="18" borderId="63" applyNumberFormat="0" applyFont="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40" borderId="0" applyNumberFormat="0" applyBorder="0" applyAlignment="0" applyProtection="0"/>
    <xf numFmtId="0" fontId="3" fillId="41" borderId="0" applyNumberFormat="0" applyBorder="0" applyAlignment="0" applyProtection="0"/>
    <xf numFmtId="0" fontId="3" fillId="0" borderId="0"/>
    <xf numFmtId="9" fontId="3" fillId="0" borderId="0" applyFont="0" applyFill="0" applyBorder="0" applyAlignment="0" applyProtection="0"/>
    <xf numFmtId="43" fontId="3" fillId="0" borderId="0" applyFont="0" applyFill="0" applyBorder="0" applyAlignment="0" applyProtection="0"/>
    <xf numFmtId="0" fontId="3" fillId="18" borderId="63" applyNumberFormat="0" applyFont="0" applyAlignment="0" applyProtection="0"/>
    <xf numFmtId="0" fontId="127" fillId="0" borderId="0"/>
  </cellStyleXfs>
  <cellXfs count="1850">
    <xf numFmtId="0" fontId="0" fillId="0" borderId="0" xfId="0"/>
    <xf numFmtId="0" fontId="16" fillId="0" borderId="0" xfId="0" applyFont="1"/>
    <xf numFmtId="0" fontId="0" fillId="0" borderId="0" xfId="0" applyFill="1" applyBorder="1"/>
    <xf numFmtId="0" fontId="0" fillId="0" borderId="0" xfId="0" applyFill="1"/>
    <xf numFmtId="0" fontId="0" fillId="0" borderId="1" xfId="0" applyBorder="1"/>
    <xf numFmtId="0" fontId="0" fillId="0" borderId="0" xfId="0" applyBorder="1"/>
    <xf numFmtId="0" fontId="0" fillId="0" borderId="4" xfId="0" applyBorder="1"/>
    <xf numFmtId="0" fontId="0" fillId="0" borderId="5" xfId="0" applyBorder="1"/>
    <xf numFmtId="0" fontId="0" fillId="0" borderId="6" xfId="0" applyBorder="1"/>
    <xf numFmtId="0" fontId="0" fillId="0" borderId="8" xfId="0" applyBorder="1"/>
    <xf numFmtId="0" fontId="0" fillId="0" borderId="9" xfId="0" applyBorder="1"/>
    <xf numFmtId="0" fontId="18" fillId="0" borderId="0" xfId="0" applyFont="1"/>
    <xf numFmtId="0" fontId="0" fillId="0" borderId="0" xfId="0" applyAlignment="1">
      <alignment horizontal="right"/>
    </xf>
    <xf numFmtId="0" fontId="0" fillId="0" borderId="0" xfId="0" applyFill="1" applyBorder="1" applyAlignment="1">
      <alignment horizontal="right"/>
    </xf>
    <xf numFmtId="0" fontId="0" fillId="0" borderId="18" xfId="0" applyBorder="1"/>
    <xf numFmtId="0" fontId="16" fillId="0" borderId="0" xfId="0" applyFont="1" applyFill="1" applyBorder="1" applyAlignment="1">
      <alignment horizontal="center"/>
    </xf>
    <xf numFmtId="0" fontId="0" fillId="0" borderId="0" xfId="0" applyFill="1" applyBorder="1" applyAlignment="1">
      <alignment horizontal="left"/>
    </xf>
    <xf numFmtId="0" fontId="42" fillId="4" borderId="0" xfId="0" applyFont="1" applyFill="1"/>
    <xf numFmtId="0" fontId="42" fillId="4" borderId="0" xfId="0" applyFont="1" applyFill="1" applyAlignment="1"/>
    <xf numFmtId="0" fontId="42" fillId="4" borderId="0" xfId="0" applyFont="1" applyFill="1" applyAlignment="1">
      <alignment horizontal="center"/>
    </xf>
    <xf numFmtId="3" fontId="41" fillId="5" borderId="33" xfId="0" applyNumberFormat="1" applyFont="1" applyFill="1" applyBorder="1" applyAlignment="1">
      <alignment horizontal="center"/>
    </xf>
    <xf numFmtId="0" fontId="42" fillId="4" borderId="0" xfId="0" applyFont="1" applyFill="1" applyAlignment="1">
      <alignment horizontal="left"/>
    </xf>
    <xf numFmtId="0" fontId="30" fillId="6" borderId="0" xfId="0" applyFont="1" applyFill="1"/>
    <xf numFmtId="0" fontId="41" fillId="4" borderId="0" xfId="0" applyFont="1" applyFill="1" applyAlignment="1">
      <alignment horizontal="center"/>
    </xf>
    <xf numFmtId="0" fontId="19" fillId="4" borderId="0" xfId="1" applyFill="1" applyAlignment="1" applyProtection="1">
      <alignment horizontal="right" vertical="top"/>
    </xf>
    <xf numFmtId="0" fontId="0" fillId="6" borderId="0" xfId="0" applyFill="1"/>
    <xf numFmtId="0" fontId="0" fillId="0" borderId="2" xfId="0" applyBorder="1"/>
    <xf numFmtId="0" fontId="0" fillId="0" borderId="3" xfId="0" applyBorder="1"/>
    <xf numFmtId="0" fontId="0" fillId="0" borderId="0" xfId="0" applyAlignment="1">
      <alignment horizontal="center"/>
    </xf>
    <xf numFmtId="0" fontId="42" fillId="4" borderId="0" xfId="0" applyFont="1" applyFill="1"/>
    <xf numFmtId="0" fontId="31" fillId="4" borderId="33" xfId="0" applyFont="1" applyFill="1" applyBorder="1" applyAlignment="1">
      <alignment wrapText="1"/>
    </xf>
    <xf numFmtId="3" fontId="0" fillId="7" borderId="33" xfId="0" applyNumberFormat="1" applyFill="1" applyBorder="1" applyAlignment="1">
      <alignment horizontal="center"/>
    </xf>
    <xf numFmtId="0" fontId="31" fillId="4" borderId="0" xfId="5" applyFont="1" applyFill="1" applyBorder="1" applyAlignment="1" applyProtection="1">
      <alignment vertical="center" wrapText="1"/>
      <protection hidden="1"/>
    </xf>
    <xf numFmtId="0" fontId="31" fillId="4" borderId="33" xfId="5" applyFont="1" applyFill="1" applyBorder="1" applyAlignment="1" applyProtection="1">
      <alignment vertical="center" wrapText="1"/>
      <protection hidden="1"/>
    </xf>
    <xf numFmtId="3" fontId="31" fillId="4" borderId="33" xfId="0" applyNumberFormat="1" applyFont="1" applyFill="1" applyBorder="1"/>
    <xf numFmtId="0" fontId="41" fillId="4" borderId="33" xfId="5" applyFont="1" applyFill="1" applyBorder="1" applyAlignment="1" applyProtection="1">
      <alignment vertical="center" wrapText="1"/>
      <protection hidden="1"/>
    </xf>
    <xf numFmtId="0" fontId="28" fillId="2" borderId="0" xfId="0" applyFont="1" applyFill="1"/>
    <xf numFmtId="0" fontId="29" fillId="3" borderId="0" xfId="0" applyFont="1" applyFill="1" applyAlignment="1">
      <alignment horizontal="left"/>
    </xf>
    <xf numFmtId="0" fontId="30" fillId="3" borderId="0" xfId="0" applyFont="1" applyFill="1" applyAlignment="1"/>
    <xf numFmtId="0" fontId="30" fillId="3" borderId="0" xfId="0" applyFont="1" applyFill="1" applyAlignment="1">
      <alignment horizontal="center"/>
    </xf>
    <xf numFmtId="0" fontId="30" fillId="3" borderId="0" xfId="0" applyFont="1" applyFill="1"/>
    <xf numFmtId="0" fontId="27" fillId="8" borderId="0" xfId="0" applyFont="1" applyFill="1" applyAlignment="1">
      <alignment horizontal="left"/>
    </xf>
    <xf numFmtId="0" fontId="28" fillId="8" borderId="0" xfId="0" applyFont="1" applyFill="1" applyAlignment="1"/>
    <xf numFmtId="0" fontId="28" fillId="8" borderId="0" xfId="0" applyFont="1" applyFill="1" applyAlignment="1">
      <alignment horizontal="center"/>
    </xf>
    <xf numFmtId="0" fontId="28" fillId="8" borderId="0" xfId="0" applyFont="1" applyFill="1"/>
    <xf numFmtId="0" fontId="42" fillId="4" borderId="0" xfId="0" applyFont="1" applyFill="1" applyAlignment="1">
      <alignment horizontal="center"/>
    </xf>
    <xf numFmtId="0" fontId="31" fillId="4" borderId="33" xfId="0" applyFont="1" applyFill="1" applyBorder="1"/>
    <xf numFmtId="0" fontId="31" fillId="0" borderId="0" xfId="0" applyFont="1"/>
    <xf numFmtId="0" fontId="31" fillId="0" borderId="0" xfId="0" applyFont="1" applyFill="1"/>
    <xf numFmtId="0" fontId="0" fillId="44" borderId="0" xfId="0" applyFill="1"/>
    <xf numFmtId="0" fontId="31" fillId="9" borderId="0" xfId="0" applyFont="1" applyFill="1"/>
    <xf numFmtId="0" fontId="48" fillId="9" borderId="0" xfId="0" applyFont="1" applyFill="1"/>
    <xf numFmtId="0" fontId="28" fillId="0" borderId="0" xfId="0" applyFont="1" applyFill="1"/>
    <xf numFmtId="0" fontId="16" fillId="0" borderId="0" xfId="0" applyFont="1" applyAlignment="1">
      <alignment horizontal="right"/>
    </xf>
    <xf numFmtId="0" fontId="0" fillId="0" borderId="31" xfId="0" applyBorder="1"/>
    <xf numFmtId="0" fontId="0" fillId="0" borderId="32" xfId="0" applyBorder="1"/>
    <xf numFmtId="0" fontId="0" fillId="0" borderId="37" xfId="0" applyBorder="1"/>
    <xf numFmtId="0" fontId="0" fillId="0" borderId="15" xfId="0" applyBorder="1"/>
    <xf numFmtId="0" fontId="0" fillId="0" borderId="7" xfId="0" applyBorder="1"/>
    <xf numFmtId="0" fontId="0" fillId="0" borderId="36" xfId="0" applyBorder="1"/>
    <xf numFmtId="0" fontId="0" fillId="0" borderId="40" xfId="0" applyBorder="1"/>
    <xf numFmtId="0" fontId="0" fillId="0" borderId="47" xfId="0" applyBorder="1"/>
    <xf numFmtId="0" fontId="0" fillId="0" borderId="34" xfId="0" applyBorder="1"/>
    <xf numFmtId="0" fontId="0" fillId="0" borderId="53" xfId="0" applyBorder="1"/>
    <xf numFmtId="0" fontId="0" fillId="0" borderId="54" xfId="0" applyBorder="1"/>
    <xf numFmtId="49" fontId="0" fillId="0" borderId="34" xfId="0" applyNumberFormat="1" applyBorder="1"/>
    <xf numFmtId="0" fontId="30" fillId="0" borderId="0" xfId="0" applyFont="1" applyFill="1" applyAlignment="1">
      <alignment horizontal="center"/>
    </xf>
    <xf numFmtId="0" fontId="0" fillId="0" borderId="34" xfId="0" applyBorder="1" applyAlignment="1">
      <alignment horizontal="center"/>
    </xf>
    <xf numFmtId="3" fontId="0" fillId="0" borderId="34" xfId="0" applyNumberFormat="1" applyBorder="1" applyAlignment="1">
      <alignment horizontal="right"/>
    </xf>
    <xf numFmtId="3" fontId="0" fillId="0" borderId="34" xfId="0" applyNumberFormat="1" applyBorder="1"/>
    <xf numFmtId="49" fontId="0" fillId="0" borderId="0" xfId="0" applyNumberFormat="1" applyBorder="1"/>
    <xf numFmtId="14" fontId="0" fillId="0" borderId="31" xfId="0" applyNumberFormat="1" applyBorder="1"/>
    <xf numFmtId="0" fontId="0" fillId="0" borderId="33" xfId="0" applyBorder="1"/>
    <xf numFmtId="3" fontId="0" fillId="0" borderId="36" xfId="0" applyNumberFormat="1" applyBorder="1" applyAlignment="1">
      <alignment horizontal="right"/>
    </xf>
    <xf numFmtId="0" fontId="0" fillId="0" borderId="0" xfId="0" applyAlignment="1">
      <alignment horizontal="center" wrapText="1"/>
    </xf>
    <xf numFmtId="3" fontId="0" fillId="0" borderId="33" xfId="0" applyNumberFormat="1" applyBorder="1" applyAlignment="1">
      <alignment horizontal="center"/>
    </xf>
    <xf numFmtId="0" fontId="31" fillId="5" borderId="33" xfId="0" applyFont="1" applyFill="1" applyBorder="1"/>
    <xf numFmtId="3" fontId="31" fillId="5" borderId="33" xfId="0" applyNumberFormat="1" applyFont="1" applyFill="1" applyBorder="1"/>
    <xf numFmtId="0" fontId="31" fillId="47" borderId="33" xfId="0" applyFont="1" applyFill="1" applyBorder="1"/>
    <xf numFmtId="3" fontId="31" fillId="47" borderId="33" xfId="0" applyNumberFormat="1" applyFont="1" applyFill="1" applyBorder="1"/>
    <xf numFmtId="0" fontId="0" fillId="0" borderId="33" xfId="0" applyBorder="1" applyAlignment="1">
      <alignment horizontal="center"/>
    </xf>
    <xf numFmtId="0" fontId="16" fillId="0" borderId="33" xfId="0" applyFont="1" applyFill="1" applyBorder="1" applyAlignment="1">
      <alignment horizontal="center"/>
    </xf>
    <xf numFmtId="0" fontId="93" fillId="0" borderId="0" xfId="0" applyFont="1" applyFill="1" applyBorder="1" applyAlignment="1">
      <alignment horizontal="left"/>
    </xf>
    <xf numFmtId="0" fontId="0" fillId="0" borderId="34" xfId="0" applyBorder="1" applyAlignment="1">
      <alignment horizontal="right"/>
    </xf>
    <xf numFmtId="0" fontId="19" fillId="0" borderId="33" xfId="1" applyBorder="1" applyAlignment="1" applyProtection="1"/>
    <xf numFmtId="0" fontId="19" fillId="0" borderId="31" xfId="1" applyBorder="1" applyAlignment="1" applyProtection="1"/>
    <xf numFmtId="0" fontId="0" fillId="0" borderId="35" xfId="0" applyBorder="1"/>
    <xf numFmtId="0" fontId="92" fillId="0" borderId="1" xfId="0" applyFont="1" applyBorder="1"/>
    <xf numFmtId="0" fontId="19" fillId="0" borderId="67" xfId="1" applyBorder="1" applyAlignment="1" applyProtection="1">
      <alignment horizontal="center" wrapText="1"/>
    </xf>
    <xf numFmtId="0" fontId="0" fillId="0" borderId="67" xfId="0" applyBorder="1" applyAlignment="1">
      <alignment horizontal="left" wrapText="1"/>
    </xf>
    <xf numFmtId="0" fontId="0" fillId="0" borderId="67" xfId="0" applyBorder="1"/>
    <xf numFmtId="3" fontId="0" fillId="0" borderId="0" xfId="0" applyNumberFormat="1" applyBorder="1" applyAlignment="1">
      <alignment horizontal="right"/>
    </xf>
    <xf numFmtId="0" fontId="22" fillId="6" borderId="33" xfId="0" applyFont="1" applyFill="1" applyBorder="1" applyAlignment="1">
      <alignment horizontal="center" wrapText="1"/>
    </xf>
    <xf numFmtId="0" fontId="16" fillId="6" borderId="67" xfId="0" applyFont="1" applyFill="1" applyBorder="1" applyAlignment="1">
      <alignment horizontal="center" wrapText="1"/>
    </xf>
    <xf numFmtId="0" fontId="16" fillId="6" borderId="33" xfId="0" applyFont="1" applyFill="1" applyBorder="1" applyAlignment="1">
      <alignment horizontal="center"/>
    </xf>
    <xf numFmtId="0" fontId="19" fillId="0" borderId="34" xfId="1" applyBorder="1" applyAlignment="1" applyProtection="1"/>
    <xf numFmtId="0" fontId="19" fillId="0" borderId="30" xfId="1" applyBorder="1" applyAlignment="1" applyProtection="1"/>
    <xf numFmtId="0" fontId="19" fillId="0" borderId="36" xfId="1" applyBorder="1" applyAlignment="1" applyProtection="1"/>
    <xf numFmtId="0" fontId="19" fillId="0" borderId="67" xfId="1" applyBorder="1" applyAlignment="1" applyProtection="1"/>
    <xf numFmtId="0" fontId="0" fillId="48" borderId="0" xfId="0" applyFill="1"/>
    <xf numFmtId="0" fontId="0" fillId="48" borderId="0" xfId="0" applyFill="1" applyAlignment="1">
      <alignment horizontal="right"/>
    </xf>
    <xf numFmtId="0" fontId="16" fillId="0" borderId="0" xfId="0" applyFont="1" applyFill="1" applyBorder="1" applyAlignment="1">
      <alignment horizontal="center" wrapText="1"/>
    </xf>
    <xf numFmtId="9" fontId="16" fillId="0" borderId="0" xfId="0" applyNumberFormat="1" applyFont="1" applyFill="1" applyBorder="1" applyAlignment="1">
      <alignment horizontal="center"/>
    </xf>
    <xf numFmtId="3" fontId="16" fillId="0" borderId="77" xfId="0" applyNumberFormat="1" applyFont="1" applyBorder="1" applyAlignment="1">
      <alignment horizontal="center"/>
    </xf>
    <xf numFmtId="9" fontId="16" fillId="0" borderId="68" xfId="0" applyNumberFormat="1" applyFont="1" applyBorder="1" applyAlignment="1">
      <alignment horizontal="center"/>
    </xf>
    <xf numFmtId="0" fontId="16" fillId="6" borderId="76" xfId="0" applyFont="1" applyFill="1" applyBorder="1" applyAlignment="1">
      <alignment horizontal="center" wrapText="1"/>
    </xf>
    <xf numFmtId="0" fontId="16" fillId="6" borderId="69" xfId="0" applyFont="1" applyFill="1" applyBorder="1" applyAlignment="1">
      <alignment horizontal="center" wrapText="1"/>
    </xf>
    <xf numFmtId="3" fontId="31" fillId="4" borderId="0" xfId="0" applyNumberFormat="1" applyFont="1" applyFill="1" applyBorder="1"/>
    <xf numFmtId="0" fontId="31" fillId="4" borderId="0" xfId="0" applyFont="1" applyFill="1"/>
    <xf numFmtId="0" fontId="41" fillId="4" borderId="33" xfId="0" applyFont="1" applyFill="1" applyBorder="1" applyAlignment="1">
      <alignment horizontal="center"/>
    </xf>
    <xf numFmtId="0" fontId="31" fillId="4" borderId="33" xfId="5" applyFont="1" applyFill="1" applyBorder="1" applyAlignment="1" applyProtection="1">
      <alignment horizontal="right" vertical="center" wrapText="1"/>
      <protection hidden="1"/>
    </xf>
    <xf numFmtId="0" fontId="31" fillId="50" borderId="0" xfId="0" applyFont="1" applyFill="1"/>
    <xf numFmtId="0" fontId="0" fillId="0" borderId="0" xfId="0" applyBorder="1" applyAlignment="1">
      <alignment horizontal="left"/>
    </xf>
    <xf numFmtId="0" fontId="58" fillId="0" borderId="0" xfId="0" applyFont="1" applyBorder="1" applyAlignment="1">
      <alignment horizontal="right" wrapText="1"/>
    </xf>
    <xf numFmtId="0" fontId="92" fillId="0" borderId="0" xfId="0" applyFont="1" applyBorder="1"/>
    <xf numFmtId="0" fontId="0" fillId="0" borderId="15" xfId="0" applyBorder="1" applyAlignment="1">
      <alignment horizontal="left"/>
    </xf>
    <xf numFmtId="0" fontId="31" fillId="0" borderId="33" xfId="5" applyFont="1" applyFill="1" applyBorder="1" applyAlignment="1" applyProtection="1">
      <alignment vertical="center" wrapText="1"/>
      <protection hidden="1"/>
    </xf>
    <xf numFmtId="0" fontId="31" fillId="47" borderId="35" xfId="0" applyFont="1" applyFill="1" applyBorder="1"/>
    <xf numFmtId="3" fontId="31" fillId="47" borderId="35" xfId="0" applyNumberFormat="1" applyFont="1" applyFill="1" applyBorder="1"/>
    <xf numFmtId="0" fontId="31" fillId="5" borderId="77" xfId="0" applyFont="1" applyFill="1" applyBorder="1"/>
    <xf numFmtId="3" fontId="31" fillId="5" borderId="77" xfId="0" applyNumberFormat="1" applyFont="1" applyFill="1" applyBorder="1"/>
    <xf numFmtId="3" fontId="41" fillId="5" borderId="77" xfId="0" applyNumberFormat="1" applyFont="1" applyFill="1" applyBorder="1" applyAlignment="1">
      <alignment horizontal="center"/>
    </xf>
    <xf numFmtId="0" fontId="41" fillId="5" borderId="33" xfId="5" applyFont="1" applyFill="1" applyBorder="1" applyAlignment="1" applyProtection="1">
      <alignment horizontal="right" vertical="center" wrapText="1"/>
      <protection hidden="1"/>
    </xf>
    <xf numFmtId="0" fontId="31" fillId="5" borderId="33" xfId="5" applyFont="1" applyFill="1" applyBorder="1" applyAlignment="1" applyProtection="1">
      <alignment horizontal="right" vertical="center" wrapText="1"/>
      <protection hidden="1"/>
    </xf>
    <xf numFmtId="3" fontId="41" fillId="47" borderId="33" xfId="0" applyNumberFormat="1" applyFont="1" applyFill="1" applyBorder="1" applyAlignment="1">
      <alignment horizontal="center"/>
    </xf>
    <xf numFmtId="3" fontId="16" fillId="0" borderId="33" xfId="8" applyNumberFormat="1" applyFont="1" applyBorder="1" applyAlignment="1">
      <alignment horizontal="right" wrapText="1"/>
    </xf>
    <xf numFmtId="3" fontId="58" fillId="0" borderId="33" xfId="8" applyNumberFormat="1" applyFont="1" applyBorder="1" applyAlignment="1">
      <alignment horizontal="right"/>
    </xf>
    <xf numFmtId="3" fontId="31" fillId="49" borderId="70" xfId="0" applyNumberFormat="1" applyFont="1" applyFill="1" applyBorder="1" applyAlignment="1" applyProtection="1">
      <alignment horizontal="center"/>
      <protection locked="0"/>
    </xf>
    <xf numFmtId="3" fontId="31" fillId="49" borderId="95" xfId="0" applyNumberFormat="1" applyFont="1" applyFill="1" applyBorder="1" applyAlignment="1" applyProtection="1">
      <alignment horizontal="center"/>
      <protection locked="0"/>
    </xf>
    <xf numFmtId="0" fontId="0" fillId="0" borderId="31" xfId="0" applyBorder="1" applyAlignment="1">
      <alignment horizontal="left"/>
    </xf>
    <xf numFmtId="0" fontId="0" fillId="0" borderId="32" xfId="0" applyBorder="1" applyAlignment="1">
      <alignment horizontal="left"/>
    </xf>
    <xf numFmtId="0" fontId="0" fillId="0" borderId="37" xfId="0" applyBorder="1" applyAlignment="1">
      <alignment horizontal="left"/>
    </xf>
    <xf numFmtId="0" fontId="0" fillId="0" borderId="7" xfId="0" applyBorder="1" applyAlignment="1">
      <alignment horizontal="left"/>
    </xf>
    <xf numFmtId="0" fontId="0" fillId="0" borderId="40" xfId="0" applyBorder="1" applyAlignment="1">
      <alignment horizontal="left"/>
    </xf>
    <xf numFmtId="0" fontId="0" fillId="0" borderId="47" xfId="0" applyBorder="1" applyAlignment="1">
      <alignment horizontal="left"/>
    </xf>
    <xf numFmtId="3" fontId="0" fillId="0" borderId="34" xfId="0" applyNumberFormat="1" applyBorder="1" applyAlignment="1">
      <alignment horizontal="left"/>
    </xf>
    <xf numFmtId="3" fontId="0" fillId="0" borderId="93" xfId="0" applyNumberFormat="1" applyBorder="1" applyAlignment="1">
      <alignment horizontal="left"/>
    </xf>
    <xf numFmtId="0" fontId="0" fillId="0" borderId="99" xfId="0" applyBorder="1" applyAlignment="1">
      <alignment horizontal="left"/>
    </xf>
    <xf numFmtId="0" fontId="0" fillId="0" borderId="94" xfId="0" applyBorder="1" applyAlignment="1">
      <alignment horizontal="left"/>
    </xf>
    <xf numFmtId="3" fontId="16" fillId="0" borderId="36" xfId="0" applyNumberFormat="1" applyFont="1" applyBorder="1" applyAlignment="1">
      <alignment horizontal="left"/>
    </xf>
    <xf numFmtId="0" fontId="16" fillId="0" borderId="40" xfId="0" applyFont="1" applyBorder="1" applyAlignment="1">
      <alignment horizontal="left"/>
    </xf>
    <xf numFmtId="0" fontId="16" fillId="0" borderId="47" xfId="0" applyFont="1" applyBorder="1" applyAlignment="1">
      <alignment horizontal="left"/>
    </xf>
    <xf numFmtId="0" fontId="0" fillId="44" borderId="0" xfId="0" applyFont="1" applyFill="1"/>
    <xf numFmtId="0" fontId="42" fillId="44" borderId="0" xfId="0" applyFont="1" applyFill="1" applyAlignment="1">
      <alignment horizontal="center"/>
    </xf>
    <xf numFmtId="0" fontId="31" fillId="50" borderId="33" xfId="0" applyFont="1" applyFill="1" applyBorder="1"/>
    <xf numFmtId="0" fontId="31" fillId="0" borderId="33" xfId="5" applyFont="1" applyFill="1" applyBorder="1" applyAlignment="1" applyProtection="1">
      <alignment horizontal="right" vertical="center" wrapText="1"/>
      <protection hidden="1"/>
    </xf>
    <xf numFmtId="0" fontId="0" fillId="0" borderId="0" xfId="0"/>
    <xf numFmtId="0" fontId="118" fillId="0" borderId="0" xfId="0" applyFont="1"/>
    <xf numFmtId="0" fontId="31" fillId="54" borderId="0" xfId="0" applyFont="1" applyFill="1"/>
    <xf numFmtId="3" fontId="31" fillId="54" borderId="0" xfId="0" applyNumberFormat="1" applyFont="1" applyFill="1"/>
    <xf numFmtId="3" fontId="31" fillId="54" borderId="0" xfId="0" applyNumberFormat="1" applyFont="1" applyFill="1" applyAlignment="1">
      <alignment horizontal="right"/>
    </xf>
    <xf numFmtId="0" fontId="31" fillId="54" borderId="0" xfId="0" applyFont="1" applyFill="1" applyAlignment="1">
      <alignment horizontal="right"/>
    </xf>
    <xf numFmtId="0" fontId="0" fillId="0" borderId="0" xfId="0"/>
    <xf numFmtId="3" fontId="41" fillId="5" borderId="33" xfId="0" applyNumberFormat="1" applyFont="1" applyFill="1" applyBorder="1"/>
    <xf numFmtId="3" fontId="41" fillId="4" borderId="33" xfId="0" applyNumberFormat="1" applyFont="1" applyFill="1" applyBorder="1"/>
    <xf numFmtId="3" fontId="41" fillId="47" borderId="33" xfId="0" applyNumberFormat="1" applyFont="1" applyFill="1" applyBorder="1"/>
    <xf numFmtId="0" fontId="0" fillId="54" borderId="0" xfId="0" applyFill="1"/>
    <xf numFmtId="0" fontId="41" fillId="4" borderId="76" xfId="0" applyFont="1" applyFill="1" applyBorder="1" applyAlignment="1">
      <alignment horizontal="center"/>
    </xf>
    <xf numFmtId="0" fontId="31" fillId="4" borderId="76" xfId="0" applyFont="1" applyFill="1" applyBorder="1"/>
    <xf numFmtId="0" fontId="0" fillId="0" borderId="0" xfId="0" applyBorder="1" applyAlignment="1">
      <alignment horizontal="right"/>
    </xf>
    <xf numFmtId="3" fontId="41" fillId="4" borderId="77" xfId="0" applyNumberFormat="1" applyFont="1" applyFill="1" applyBorder="1"/>
    <xf numFmtId="3" fontId="31" fillId="4" borderId="77" xfId="0" applyNumberFormat="1" applyFont="1" applyFill="1" applyBorder="1"/>
    <xf numFmtId="0" fontId="16" fillId="6" borderId="0" xfId="0" applyFont="1" applyFill="1" applyAlignment="1">
      <alignment horizontal="right"/>
    </xf>
    <xf numFmtId="0" fontId="16" fillId="6" borderId="0" xfId="0" applyFont="1" applyFill="1" applyAlignment="1">
      <alignment horizontal="center"/>
    </xf>
    <xf numFmtId="0" fontId="16" fillId="3" borderId="66" xfId="0" applyFont="1" applyFill="1" applyBorder="1" applyAlignment="1">
      <alignment horizontal="center"/>
    </xf>
    <xf numFmtId="0" fontId="16" fillId="3" borderId="76" xfId="0" applyFont="1" applyFill="1" applyBorder="1" applyAlignment="1">
      <alignment horizontal="center"/>
    </xf>
    <xf numFmtId="0" fontId="16" fillId="3" borderId="69" xfId="0" applyFont="1" applyFill="1" applyBorder="1" applyAlignment="1">
      <alignment horizontal="center"/>
    </xf>
    <xf numFmtId="0" fontId="0" fillId="0" borderId="70" xfId="0" applyBorder="1" applyAlignment="1">
      <alignment horizontal="center"/>
    </xf>
    <xf numFmtId="0" fontId="0" fillId="0" borderId="67" xfId="0" applyBorder="1" applyAlignment="1">
      <alignment horizontal="center"/>
    </xf>
    <xf numFmtId="0" fontId="31" fillId="0" borderId="0" xfId="0" applyFont="1" applyFill="1" applyBorder="1" applyAlignment="1">
      <alignment horizontal="right"/>
    </xf>
    <xf numFmtId="0" fontId="0" fillId="55" borderId="1" xfId="0" applyFill="1" applyBorder="1"/>
    <xf numFmtId="0" fontId="16" fillId="55" borderId="8" xfId="0" applyFont="1" applyFill="1" applyBorder="1" applyAlignment="1">
      <alignment horizontal="right"/>
    </xf>
    <xf numFmtId="0" fontId="31" fillId="0" borderId="5" xfId="0" applyFont="1" applyFill="1" applyBorder="1" applyAlignment="1">
      <alignment horizontal="right"/>
    </xf>
    <xf numFmtId="0" fontId="16" fillId="3" borderId="33" xfId="0" applyFont="1" applyFill="1" applyBorder="1" applyAlignment="1">
      <alignment horizontal="center"/>
    </xf>
    <xf numFmtId="0" fontId="16" fillId="3" borderId="33" xfId="0" applyFont="1" applyFill="1" applyBorder="1" applyAlignment="1">
      <alignment horizontal="center" wrapText="1"/>
    </xf>
    <xf numFmtId="3" fontId="41" fillId="4" borderId="0" xfId="0" applyNumberFormat="1" applyFont="1" applyFill="1" applyBorder="1"/>
    <xf numFmtId="0" fontId="0" fillId="11" borderId="33" xfId="0" applyFill="1" applyBorder="1" applyAlignment="1">
      <alignment horizontal="center"/>
    </xf>
    <xf numFmtId="3" fontId="0" fillId="11" borderId="33" xfId="0" applyNumberFormat="1" applyFill="1" applyBorder="1" applyAlignment="1">
      <alignment horizontal="center"/>
    </xf>
    <xf numFmtId="0" fontId="0" fillId="7" borderId="33" xfId="0" applyFill="1" applyBorder="1" applyAlignment="1">
      <alignment horizontal="center"/>
    </xf>
    <xf numFmtId="9" fontId="58" fillId="0" borderId="33" xfId="2" applyFont="1" applyBorder="1" applyAlignment="1">
      <alignment horizontal="right"/>
    </xf>
    <xf numFmtId="3" fontId="41" fillId="49" borderId="33" xfId="0" applyNumberFormat="1" applyFont="1" applyFill="1" applyBorder="1" applyAlignment="1" applyProtection="1">
      <alignment horizontal="center"/>
      <protection locked="0"/>
    </xf>
    <xf numFmtId="3" fontId="31" fillId="0" borderId="0" xfId="0" applyNumberFormat="1" applyFont="1"/>
    <xf numFmtId="0" fontId="31" fillId="0" borderId="0" xfId="0" applyFont="1" applyBorder="1"/>
    <xf numFmtId="3" fontId="31" fillId="49" borderId="79" xfId="0" applyNumberFormat="1" applyFont="1" applyFill="1" applyBorder="1" applyAlignment="1" applyProtection="1">
      <alignment horizontal="center"/>
      <protection locked="0"/>
    </xf>
    <xf numFmtId="0" fontId="16" fillId="0" borderId="33" xfId="0" applyFont="1" applyBorder="1" applyAlignment="1">
      <alignment horizontal="center" wrapText="1"/>
    </xf>
    <xf numFmtId="0" fontId="16" fillId="0" borderId="33" xfId="0" applyFont="1" applyBorder="1" applyAlignment="1">
      <alignment horizontal="center"/>
    </xf>
    <xf numFmtId="0" fontId="16" fillId="0" borderId="33" xfId="0" applyFont="1" applyBorder="1"/>
    <xf numFmtId="14" fontId="0" fillId="0" borderId="33" xfId="0" applyNumberFormat="1" applyBorder="1" applyAlignment="1">
      <alignment horizontal="center"/>
    </xf>
    <xf numFmtId="0" fontId="101" fillId="4" borderId="0" xfId="1" applyFont="1" applyFill="1" applyBorder="1" applyAlignment="1" applyProtection="1">
      <alignment horizontal="right"/>
    </xf>
    <xf numFmtId="0" fontId="31" fillId="49" borderId="39" xfId="0" applyFont="1" applyFill="1" applyBorder="1" applyAlignment="1" applyProtection="1">
      <alignment horizontal="center"/>
      <protection locked="0"/>
    </xf>
    <xf numFmtId="3" fontId="16" fillId="0" borderId="33" xfId="0" applyNumberFormat="1" applyFont="1" applyBorder="1" applyAlignment="1">
      <alignment horizontal="right"/>
    </xf>
    <xf numFmtId="3" fontId="0" fillId="0" borderId="33" xfId="0" applyNumberFormat="1" applyBorder="1" applyAlignment="1">
      <alignment horizontal="left"/>
    </xf>
    <xf numFmtId="0" fontId="18" fillId="0" borderId="0" xfId="0" applyFont="1" applyBorder="1"/>
    <xf numFmtId="9" fontId="0" fillId="0" borderId="33" xfId="2" applyFont="1" applyBorder="1" applyAlignment="1">
      <alignment horizontal="left"/>
    </xf>
    <xf numFmtId="0" fontId="22" fillId="0" borderId="0" xfId="0" applyFont="1" applyFill="1" applyBorder="1" applyAlignment="1">
      <alignment horizontal="center" wrapText="1"/>
    </xf>
    <xf numFmtId="3" fontId="0" fillId="0" borderId="0" xfId="0" applyNumberFormat="1" applyFill="1" applyBorder="1" applyAlignment="1">
      <alignment horizontal="left"/>
    </xf>
    <xf numFmtId="3" fontId="16" fillId="0" borderId="0" xfId="0" applyNumberFormat="1" applyFont="1" applyFill="1" applyBorder="1" applyAlignment="1">
      <alignment horizontal="left"/>
    </xf>
    <xf numFmtId="0" fontId="17" fillId="0" borderId="0" xfId="0" applyFont="1" applyFill="1" applyBorder="1" applyAlignment="1">
      <alignment horizontal="centerContinuous"/>
    </xf>
    <xf numFmtId="0" fontId="0" fillId="0" borderId="0" xfId="0" applyFill="1" applyBorder="1" applyAlignment="1">
      <alignment horizontal="centerContinuous"/>
    </xf>
    <xf numFmtId="0" fontId="48" fillId="9" borderId="0" xfId="0" applyFont="1" applyFill="1"/>
    <xf numFmtId="0" fontId="30" fillId="0" borderId="0" xfId="0" applyFont="1" applyFill="1" applyBorder="1"/>
    <xf numFmtId="0" fontId="48" fillId="9" borderId="0" xfId="0" applyFont="1" applyFill="1"/>
    <xf numFmtId="0" fontId="42" fillId="4" borderId="0" xfId="0" applyFont="1" applyFill="1"/>
    <xf numFmtId="0" fontId="17" fillId="0" borderId="0" xfId="0" applyFont="1" applyFill="1" applyBorder="1"/>
    <xf numFmtId="0" fontId="0" fillId="0" borderId="0" xfId="0" applyFill="1" applyBorder="1"/>
    <xf numFmtId="0" fontId="0" fillId="0" borderId="0" xfId="0" applyBorder="1"/>
    <xf numFmtId="0" fontId="30" fillId="0" borderId="0" xfId="0" applyFont="1" applyFill="1"/>
    <xf numFmtId="0" fontId="86" fillId="0" borderId="0" xfId="0" applyFont="1"/>
    <xf numFmtId="0" fontId="42" fillId="0" borderId="0" xfId="0" applyFont="1" applyFill="1"/>
    <xf numFmtId="0" fontId="54" fillId="0" borderId="0" xfId="0" applyFont="1" applyFill="1"/>
    <xf numFmtId="0" fontId="58" fillId="0" borderId="0" xfId="0" applyFont="1" applyBorder="1" applyAlignment="1">
      <alignment horizontal="right"/>
    </xf>
    <xf numFmtId="0" fontId="18" fillId="0" borderId="0" xfId="0" applyFont="1" applyBorder="1" applyAlignment="1">
      <alignment horizontal="left"/>
    </xf>
    <xf numFmtId="0" fontId="0" fillId="0" borderId="0" xfId="0" applyFont="1" applyBorder="1"/>
    <xf numFmtId="0" fontId="0" fillId="0" borderId="0" xfId="0" applyFont="1"/>
    <xf numFmtId="0" fontId="0" fillId="0" borderId="34" xfId="0" applyBorder="1" applyAlignment="1">
      <alignment horizontal="left"/>
    </xf>
    <xf numFmtId="0" fontId="16" fillId="0" borderId="34" xfId="0" applyFont="1" applyBorder="1" applyAlignment="1">
      <alignment horizontal="left"/>
    </xf>
    <xf numFmtId="0" fontId="16" fillId="0" borderId="53" xfId="0" applyFont="1" applyBorder="1"/>
    <xf numFmtId="0" fontId="16" fillId="0" borderId="54" xfId="0" applyFont="1" applyBorder="1"/>
    <xf numFmtId="3" fontId="0" fillId="0" borderId="0" xfId="0" applyNumberFormat="1" applyBorder="1" applyAlignment="1">
      <alignment horizontal="center"/>
    </xf>
    <xf numFmtId="0" fontId="0" fillId="0" borderId="53" xfId="0" applyBorder="1" applyAlignment="1">
      <alignment horizontal="left"/>
    </xf>
    <xf numFmtId="0" fontId="0" fillId="0" borderId="54" xfId="0" applyBorder="1" applyAlignment="1">
      <alignment horizontal="left"/>
    </xf>
    <xf numFmtId="3" fontId="0" fillId="0" borderId="0" xfId="0" applyNumberFormat="1" applyBorder="1"/>
    <xf numFmtId="0" fontId="42" fillId="44" borderId="0" xfId="0" applyFont="1" applyFill="1"/>
    <xf numFmtId="0" fontId="0" fillId="0" borderId="33" xfId="0" applyBorder="1" applyAlignment="1">
      <alignment wrapText="1"/>
    </xf>
    <xf numFmtId="9" fontId="0" fillId="0" borderId="0" xfId="2" applyFont="1" applyBorder="1" applyAlignment="1">
      <alignment horizontal="left" wrapText="1"/>
    </xf>
    <xf numFmtId="0" fontId="41" fillId="49" borderId="77" xfId="0" applyFont="1" applyFill="1" applyBorder="1" applyAlignment="1" applyProtection="1">
      <alignment horizontal="center" wrapText="1"/>
      <protection locked="0"/>
    </xf>
    <xf numFmtId="14" fontId="41" fillId="49" borderId="33" xfId="0" applyNumberFormat="1" applyFont="1" applyFill="1" applyBorder="1" applyAlignment="1" applyProtection="1">
      <alignment horizontal="left"/>
      <protection locked="0"/>
    </xf>
    <xf numFmtId="3" fontId="31" fillId="49" borderId="33" xfId="0" applyNumberFormat="1" applyFont="1" applyFill="1" applyBorder="1" applyAlignment="1" applyProtection="1">
      <alignment horizontal="center"/>
      <protection locked="0"/>
    </xf>
    <xf numFmtId="0" fontId="31" fillId="49" borderId="53" xfId="0" applyFont="1" applyFill="1" applyBorder="1" applyAlignment="1" applyProtection="1">
      <alignment horizontal="center"/>
      <protection locked="0"/>
    </xf>
    <xf numFmtId="3" fontId="31" fillId="49" borderId="54" xfId="0" applyNumberFormat="1" applyFont="1" applyFill="1" applyBorder="1" applyAlignment="1" applyProtection="1">
      <alignment horizontal="center"/>
      <protection locked="0"/>
    </xf>
    <xf numFmtId="3" fontId="31" fillId="49" borderId="55" xfId="0" applyNumberFormat="1" applyFont="1" applyFill="1" applyBorder="1" applyAlignment="1" applyProtection="1">
      <alignment horizontal="center"/>
      <protection locked="0"/>
    </xf>
    <xf numFmtId="0" fontId="31" fillId="49" borderId="70" xfId="0" applyFont="1" applyFill="1" applyBorder="1" applyAlignment="1" applyProtection="1">
      <alignment horizontal="center"/>
      <protection locked="0"/>
    </xf>
    <xf numFmtId="3" fontId="31" fillId="49" borderId="85" xfId="0" applyNumberFormat="1" applyFont="1" applyFill="1" applyBorder="1" applyAlignment="1" applyProtection="1">
      <alignment horizontal="center"/>
      <protection locked="0"/>
    </xf>
    <xf numFmtId="3" fontId="31" fillId="10" borderId="33" xfId="0" applyNumberFormat="1" applyFont="1" applyFill="1" applyBorder="1" applyAlignment="1" applyProtection="1">
      <alignment horizontal="center" vertical="center"/>
    </xf>
    <xf numFmtId="3" fontId="31" fillId="10" borderId="55" xfId="0" applyNumberFormat="1" applyFont="1" applyFill="1" applyBorder="1" applyAlignment="1" applyProtection="1">
      <alignment horizontal="center" vertical="center"/>
    </xf>
    <xf numFmtId="3" fontId="41" fillId="10" borderId="21" xfId="0" applyNumberFormat="1" applyFont="1" applyFill="1" applyBorder="1" applyAlignment="1" applyProtection="1">
      <alignment horizontal="center" vertical="center"/>
    </xf>
    <xf numFmtId="3" fontId="31" fillId="10" borderId="21" xfId="0" applyNumberFormat="1" applyFont="1" applyFill="1" applyBorder="1" applyAlignment="1" applyProtection="1">
      <alignment horizontal="center" vertical="center"/>
    </xf>
    <xf numFmtId="3" fontId="33" fillId="10" borderId="21" xfId="0" applyNumberFormat="1" applyFont="1" applyFill="1" applyBorder="1" applyAlignment="1" applyProtection="1">
      <alignment horizontal="center" vertical="center"/>
    </xf>
    <xf numFmtId="3" fontId="31" fillId="10" borderId="20" xfId="0" applyNumberFormat="1" applyFont="1" applyFill="1" applyBorder="1" applyAlignment="1" applyProtection="1">
      <alignment horizontal="center" vertical="center"/>
    </xf>
    <xf numFmtId="3" fontId="41" fillId="10" borderId="33" xfId="0" applyNumberFormat="1" applyFont="1" applyFill="1" applyBorder="1" applyAlignment="1" applyProtection="1">
      <alignment horizontal="center"/>
    </xf>
    <xf numFmtId="3" fontId="41" fillId="10" borderId="21" xfId="0" applyNumberFormat="1" applyFont="1" applyFill="1" applyBorder="1" applyAlignment="1" applyProtection="1">
      <alignment horizontal="center"/>
    </xf>
    <xf numFmtId="3" fontId="31" fillId="10" borderId="78" xfId="0" applyNumberFormat="1" applyFont="1" applyFill="1" applyBorder="1" applyAlignment="1" applyProtection="1">
      <alignment horizontal="center"/>
    </xf>
    <xf numFmtId="3" fontId="31" fillId="10" borderId="70" xfId="0" applyNumberFormat="1" applyFont="1" applyFill="1" applyBorder="1" applyAlignment="1" applyProtection="1">
      <alignment horizontal="center"/>
    </xf>
    <xf numFmtId="3" fontId="31" fillId="10" borderId="28" xfId="0" applyNumberFormat="1" applyFont="1" applyFill="1" applyBorder="1" applyAlignment="1" applyProtection="1">
      <alignment horizontal="center"/>
    </xf>
    <xf numFmtId="0" fontId="31" fillId="4" borderId="0" xfId="0" applyFont="1" applyFill="1" applyBorder="1" applyAlignment="1" applyProtection="1">
      <alignment horizontal="center"/>
    </xf>
    <xf numFmtId="0" fontId="83" fillId="4" borderId="0" xfId="0" applyFont="1" applyFill="1" applyBorder="1" applyProtection="1"/>
    <xf numFmtId="0" fontId="34" fillId="4" borderId="0" xfId="0" applyFont="1" applyFill="1" applyBorder="1" applyProtection="1"/>
    <xf numFmtId="0" fontId="31" fillId="4" borderId="0" xfId="0" applyFont="1" applyFill="1" applyBorder="1" applyProtection="1"/>
    <xf numFmtId="0" fontId="31" fillId="4" borderId="0" xfId="0" applyFont="1" applyFill="1" applyBorder="1" applyAlignment="1" applyProtection="1">
      <alignment horizontal="center" wrapText="1"/>
    </xf>
    <xf numFmtId="0" fontId="51" fillId="4" borderId="0" xfId="0" applyFont="1" applyFill="1" applyAlignment="1" applyProtection="1">
      <alignment horizontal="right"/>
    </xf>
    <xf numFmtId="0" fontId="12" fillId="4" borderId="0" xfId="0" applyFont="1" applyFill="1" applyBorder="1" applyAlignment="1" applyProtection="1">
      <alignment horizontal="right"/>
    </xf>
    <xf numFmtId="0" fontId="13" fillId="4" borderId="0" xfId="0" applyFont="1" applyFill="1" applyBorder="1" applyAlignment="1" applyProtection="1">
      <alignment horizontal="right"/>
    </xf>
    <xf numFmtId="0" fontId="33" fillId="4" borderId="0" xfId="0" applyFont="1" applyFill="1" applyBorder="1" applyAlignment="1" applyProtection="1">
      <alignment horizontal="right"/>
    </xf>
    <xf numFmtId="0" fontId="74" fillId="4" borderId="0" xfId="0" applyFont="1" applyFill="1" applyBorder="1" applyAlignment="1" applyProtection="1">
      <alignment horizontal="right"/>
    </xf>
    <xf numFmtId="0" fontId="31" fillId="4" borderId="0" xfId="0" applyFont="1" applyFill="1" applyBorder="1" applyAlignment="1" applyProtection="1">
      <alignment horizontal="right"/>
    </xf>
    <xf numFmtId="0" fontId="14" fillId="4" borderId="0" xfId="0" applyFont="1" applyFill="1" applyBorder="1" applyAlignment="1" applyProtection="1">
      <alignment horizontal="right"/>
    </xf>
    <xf numFmtId="0" fontId="14" fillId="4" borderId="0" xfId="0" applyFont="1" applyFill="1" applyBorder="1" applyProtection="1"/>
    <xf numFmtId="0" fontId="33" fillId="4" borderId="0" xfId="0" applyFont="1" applyFill="1" applyBorder="1" applyAlignment="1" applyProtection="1">
      <alignment horizontal="right" wrapText="1"/>
    </xf>
    <xf numFmtId="0" fontId="31" fillId="4" borderId="0" xfId="0" applyFont="1" applyFill="1" applyProtection="1"/>
    <xf numFmtId="0" fontId="31" fillId="4" borderId="0" xfId="0" applyFont="1" applyFill="1" applyAlignment="1" applyProtection="1">
      <alignment horizontal="center"/>
    </xf>
    <xf numFmtId="0" fontId="41" fillId="4" borderId="0" xfId="0" applyFont="1" applyFill="1" applyBorder="1" applyProtection="1"/>
    <xf numFmtId="0" fontId="41" fillId="4" borderId="0" xfId="0" applyFont="1" applyFill="1" applyProtection="1"/>
    <xf numFmtId="0" fontId="31" fillId="4" borderId="40" xfId="0" applyFont="1" applyFill="1" applyBorder="1" applyProtection="1"/>
    <xf numFmtId="0" fontId="31" fillId="4" borderId="47" xfId="0" applyFont="1" applyFill="1" applyBorder="1" applyProtection="1"/>
    <xf numFmtId="0" fontId="31" fillId="49" borderId="33" xfId="0" applyFont="1" applyFill="1" applyBorder="1" applyProtection="1"/>
    <xf numFmtId="0" fontId="37" fillId="2" borderId="33" xfId="0" applyFont="1" applyFill="1" applyBorder="1" applyAlignment="1" applyProtection="1">
      <alignment horizontal="left" vertical="center"/>
    </xf>
    <xf numFmtId="0" fontId="38" fillId="4" borderId="0" xfId="0" applyFont="1" applyFill="1" applyAlignment="1" applyProtection="1">
      <alignment horizontal="left"/>
    </xf>
    <xf numFmtId="0" fontId="31" fillId="4" borderId="0" xfId="0" applyFont="1" applyFill="1" applyBorder="1" applyAlignment="1" applyProtection="1"/>
    <xf numFmtId="0" fontId="31" fillId="4" borderId="53" xfId="0" applyFont="1" applyFill="1" applyBorder="1" applyAlignment="1" applyProtection="1"/>
    <xf numFmtId="0" fontId="31" fillId="4" borderId="54" xfId="0" applyFont="1" applyFill="1" applyBorder="1" applyAlignment="1" applyProtection="1">
      <alignment horizontal="right"/>
    </xf>
    <xf numFmtId="0" fontId="31" fillId="7" borderId="51" xfId="0" applyFont="1" applyFill="1" applyBorder="1" applyAlignment="1" applyProtection="1">
      <alignment horizontal="center"/>
    </xf>
    <xf numFmtId="0" fontId="31" fillId="4" borderId="34" xfId="0" applyFont="1" applyFill="1" applyBorder="1" applyProtection="1"/>
    <xf numFmtId="0" fontId="31" fillId="4" borderId="54" xfId="0" applyFont="1" applyFill="1" applyBorder="1" applyProtection="1"/>
    <xf numFmtId="0" fontId="31" fillId="4" borderId="0" xfId="0" applyFont="1" applyFill="1" applyAlignment="1" applyProtection="1">
      <alignment wrapText="1"/>
    </xf>
    <xf numFmtId="0" fontId="31" fillId="9" borderId="52" xfId="0" applyFont="1" applyFill="1" applyBorder="1" applyAlignment="1" applyProtection="1">
      <alignment horizontal="center"/>
    </xf>
    <xf numFmtId="0" fontId="31" fillId="4" borderId="0" xfId="0" applyFont="1" applyFill="1" applyAlignment="1" applyProtection="1">
      <alignment horizontal="center" wrapText="1"/>
    </xf>
    <xf numFmtId="0" fontId="31" fillId="10" borderId="52" xfId="0" applyFont="1" applyFill="1" applyBorder="1" applyAlignment="1" applyProtection="1">
      <alignment horizontal="center"/>
    </xf>
    <xf numFmtId="0" fontId="31" fillId="4" borderId="54" xfId="0" applyFont="1" applyFill="1" applyBorder="1" applyAlignment="1" applyProtection="1">
      <alignment wrapText="1"/>
    </xf>
    <xf numFmtId="0" fontId="31" fillId="4" borderId="0" xfId="0" applyFont="1" applyFill="1" applyAlignment="1" applyProtection="1">
      <alignment vertical="top"/>
    </xf>
    <xf numFmtId="0" fontId="31" fillId="4" borderId="0" xfId="0" applyFont="1" applyFill="1" applyBorder="1" applyAlignment="1" applyProtection="1">
      <alignment vertical="top"/>
    </xf>
    <xf numFmtId="0" fontId="60" fillId="4" borderId="0" xfId="0" applyFont="1" applyFill="1" applyProtection="1"/>
    <xf numFmtId="0" fontId="42" fillId="4" borderId="0" xfId="0" applyFont="1" applyFill="1" applyProtection="1"/>
    <xf numFmtId="3" fontId="31" fillId="7" borderId="70" xfId="0" applyNumberFormat="1" applyFont="1" applyFill="1" applyBorder="1" applyAlignment="1" applyProtection="1">
      <alignment horizontal="center" vertical="center"/>
    </xf>
    <xf numFmtId="3" fontId="31" fillId="7" borderId="33" xfId="0" applyNumberFormat="1" applyFont="1" applyFill="1" applyBorder="1" applyAlignment="1" applyProtection="1">
      <alignment horizontal="center" vertical="center"/>
    </xf>
    <xf numFmtId="3" fontId="31" fillId="10" borderId="67" xfId="0" applyNumberFormat="1" applyFont="1" applyFill="1" applyBorder="1" applyAlignment="1" applyProtection="1">
      <alignment horizontal="center" vertical="center"/>
    </xf>
    <xf numFmtId="3" fontId="31" fillId="7" borderId="54" xfId="0" applyNumberFormat="1" applyFont="1" applyFill="1" applyBorder="1" applyAlignment="1" applyProtection="1">
      <alignment horizontal="center" vertical="center"/>
    </xf>
    <xf numFmtId="3" fontId="31" fillId="7" borderId="95" xfId="0" applyNumberFormat="1" applyFont="1" applyFill="1" applyBorder="1" applyAlignment="1" applyProtection="1">
      <alignment horizontal="center" vertical="center"/>
    </xf>
    <xf numFmtId="3" fontId="31" fillId="7" borderId="55" xfId="0" applyNumberFormat="1" applyFont="1" applyFill="1" applyBorder="1" applyAlignment="1" applyProtection="1">
      <alignment horizontal="center" vertical="center"/>
    </xf>
    <xf numFmtId="3" fontId="31" fillId="10" borderId="96" xfId="0" applyNumberFormat="1" applyFont="1" applyFill="1" applyBorder="1" applyAlignment="1" applyProtection="1">
      <alignment horizontal="center" vertical="center"/>
    </xf>
    <xf numFmtId="3" fontId="31" fillId="7" borderId="94" xfId="0" applyNumberFormat="1" applyFont="1" applyFill="1" applyBorder="1" applyAlignment="1" applyProtection="1">
      <alignment horizontal="center" vertical="center"/>
    </xf>
    <xf numFmtId="3" fontId="31" fillId="10" borderId="123" xfId="0" applyNumberFormat="1" applyFont="1" applyFill="1" applyBorder="1" applyAlignment="1" applyProtection="1">
      <alignment horizontal="center" vertical="center"/>
    </xf>
    <xf numFmtId="3" fontId="33" fillId="7" borderId="28" xfId="0" applyNumberFormat="1" applyFont="1" applyFill="1" applyBorder="1" applyAlignment="1" applyProtection="1">
      <alignment horizontal="center" vertical="center"/>
    </xf>
    <xf numFmtId="3" fontId="33" fillId="7" borderId="21" xfId="0" applyNumberFormat="1" applyFont="1" applyFill="1" applyBorder="1" applyAlignment="1" applyProtection="1">
      <alignment horizontal="center" vertical="center"/>
    </xf>
    <xf numFmtId="3" fontId="33" fillId="10" borderId="18" xfId="0" applyNumberFormat="1" applyFont="1" applyFill="1" applyBorder="1" applyAlignment="1" applyProtection="1">
      <alignment horizontal="center" vertical="center"/>
    </xf>
    <xf numFmtId="3" fontId="33" fillId="10" borderId="39" xfId="0" applyNumberFormat="1" applyFont="1" applyFill="1" applyBorder="1" applyAlignment="1" applyProtection="1">
      <alignment horizontal="center" vertical="center"/>
    </xf>
    <xf numFmtId="3" fontId="33" fillId="7" borderId="103" xfId="0" applyNumberFormat="1" applyFont="1" applyFill="1" applyBorder="1" applyAlignment="1" applyProtection="1">
      <alignment horizontal="center" vertical="center"/>
    </xf>
    <xf numFmtId="3" fontId="33" fillId="10" borderId="49" xfId="0" applyNumberFormat="1" applyFont="1" applyFill="1" applyBorder="1" applyAlignment="1" applyProtection="1">
      <alignment horizontal="center" vertical="center"/>
    </xf>
    <xf numFmtId="3" fontId="33" fillId="10" borderId="79" xfId="0" applyNumberFormat="1" applyFont="1" applyFill="1" applyBorder="1" applyAlignment="1" applyProtection="1">
      <alignment horizontal="center"/>
    </xf>
    <xf numFmtId="3" fontId="33" fillId="7" borderId="22" xfId="0" applyNumberFormat="1" applyFont="1" applyFill="1" applyBorder="1" applyAlignment="1" applyProtection="1">
      <alignment horizontal="center" vertical="center"/>
    </xf>
    <xf numFmtId="3" fontId="31" fillId="7" borderId="24" xfId="0" applyNumberFormat="1" applyFont="1" applyFill="1" applyBorder="1" applyAlignment="1" applyProtection="1">
      <alignment horizontal="center" vertical="center"/>
    </xf>
    <xf numFmtId="3" fontId="33" fillId="10" borderId="101" xfId="0" applyNumberFormat="1" applyFont="1" applyFill="1" applyBorder="1" applyAlignment="1" applyProtection="1">
      <alignment horizontal="center" vertical="center"/>
    </xf>
    <xf numFmtId="3" fontId="33" fillId="10" borderId="4" xfId="0" applyNumberFormat="1" applyFont="1" applyFill="1" applyBorder="1" applyAlignment="1" applyProtection="1">
      <alignment horizontal="center" vertical="center"/>
    </xf>
    <xf numFmtId="3" fontId="33" fillId="10" borderId="26" xfId="0" applyNumberFormat="1" applyFont="1" applyFill="1" applyBorder="1" applyAlignment="1" applyProtection="1">
      <alignment horizontal="center" vertical="center"/>
    </xf>
    <xf numFmtId="3" fontId="31" fillId="10" borderId="67" xfId="8" applyNumberFormat="1" applyFont="1" applyFill="1" applyBorder="1" applyAlignment="1" applyProtection="1">
      <alignment horizontal="center" vertical="center"/>
    </xf>
    <xf numFmtId="3" fontId="31" fillId="10" borderId="95" xfId="0" applyNumberFormat="1" applyFont="1" applyFill="1" applyBorder="1" applyAlignment="1" applyProtection="1">
      <alignment horizontal="center" vertical="center"/>
    </xf>
    <xf numFmtId="3" fontId="31" fillId="10" borderId="96" xfId="8" applyNumberFormat="1" applyFont="1" applyFill="1" applyBorder="1" applyAlignment="1" applyProtection="1">
      <alignment horizontal="center" vertical="center"/>
    </xf>
    <xf numFmtId="3" fontId="33" fillId="10" borderId="49" xfId="8" applyNumberFormat="1" applyFont="1" applyFill="1" applyBorder="1" applyAlignment="1" applyProtection="1">
      <alignment horizontal="center" vertical="center"/>
    </xf>
    <xf numFmtId="3" fontId="33" fillId="10" borderId="22" xfId="0" applyNumberFormat="1" applyFont="1" applyFill="1" applyBorder="1" applyAlignment="1" applyProtection="1">
      <alignment horizontal="center" vertical="center"/>
    </xf>
    <xf numFmtId="0" fontId="33" fillId="4" borderId="0" xfId="0" applyFont="1" applyFill="1" applyBorder="1" applyAlignment="1" applyProtection="1">
      <alignment horizontal="center" vertical="center"/>
    </xf>
    <xf numFmtId="0" fontId="73" fillId="4" borderId="0" xfId="0" applyFont="1" applyFill="1" applyBorder="1" applyProtection="1"/>
    <xf numFmtId="3" fontId="31" fillId="7" borderId="33" xfId="0" applyNumberFormat="1" applyFont="1" applyFill="1" applyBorder="1" applyAlignment="1" applyProtection="1">
      <alignment horizontal="center" wrapText="1"/>
    </xf>
    <xf numFmtId="3" fontId="41" fillId="7" borderId="67" xfId="0" applyNumberFormat="1" applyFont="1" applyFill="1" applyBorder="1" applyAlignment="1" applyProtection="1">
      <alignment horizontal="center" wrapText="1"/>
    </xf>
    <xf numFmtId="9" fontId="31" fillId="7" borderId="96" xfId="0" applyNumberFormat="1" applyFont="1" applyFill="1" applyBorder="1" applyAlignment="1" applyProtection="1">
      <alignment horizontal="center"/>
    </xf>
    <xf numFmtId="3" fontId="31" fillId="7" borderId="35" xfId="0" applyNumberFormat="1" applyFont="1" applyFill="1" applyBorder="1" applyAlignment="1" applyProtection="1">
      <alignment horizontal="center" wrapText="1"/>
    </xf>
    <xf numFmtId="3" fontId="31" fillId="7" borderId="67" xfId="0" applyNumberFormat="1" applyFont="1" applyFill="1" applyBorder="1" applyAlignment="1" applyProtection="1">
      <alignment horizontal="center" wrapText="1"/>
    </xf>
    <xf numFmtId="3" fontId="41" fillId="7" borderId="68" xfId="0" applyNumberFormat="1" applyFont="1" applyFill="1" applyBorder="1" applyAlignment="1" applyProtection="1">
      <alignment horizontal="center" wrapText="1"/>
    </xf>
    <xf numFmtId="0" fontId="42" fillId="4" borderId="0" xfId="0" applyFont="1" applyFill="1" applyBorder="1" applyProtection="1"/>
    <xf numFmtId="3" fontId="37" fillId="46" borderId="33" xfId="0" applyNumberFormat="1" applyFont="1" applyFill="1" applyBorder="1" applyAlignment="1" applyProtection="1">
      <alignment horizontal="center"/>
    </xf>
    <xf numFmtId="3" fontId="31" fillId="10" borderId="69" xfId="0" applyNumberFormat="1" applyFont="1" applyFill="1" applyBorder="1" applyAlignment="1" applyProtection="1">
      <alignment horizontal="center" wrapText="1"/>
    </xf>
    <xf numFmtId="0" fontId="47" fillId="4" borderId="0" xfId="0" applyFont="1" applyFill="1" applyProtection="1"/>
    <xf numFmtId="3" fontId="31" fillId="10" borderId="67" xfId="0" applyNumberFormat="1" applyFont="1" applyFill="1" applyBorder="1" applyAlignment="1" applyProtection="1">
      <alignment horizontal="center" wrapText="1"/>
    </xf>
    <xf numFmtId="3" fontId="31" fillId="10" borderId="68" xfId="0" applyNumberFormat="1" applyFont="1" applyFill="1" applyBorder="1" applyAlignment="1" applyProtection="1">
      <alignment horizontal="center" wrapText="1"/>
    </xf>
    <xf numFmtId="0" fontId="83" fillId="4" borderId="0" xfId="0" applyFont="1" applyFill="1" applyProtection="1"/>
    <xf numFmtId="3" fontId="31" fillId="10" borderId="33" xfId="0" applyNumberFormat="1" applyFont="1" applyFill="1" applyBorder="1" applyAlignment="1" applyProtection="1">
      <alignment horizontal="center" wrapText="1"/>
    </xf>
    <xf numFmtId="3" fontId="31" fillId="10" borderId="55" xfId="0" applyNumberFormat="1" applyFont="1" applyFill="1" applyBorder="1" applyAlignment="1" applyProtection="1">
      <alignment horizontal="center" wrapText="1"/>
    </xf>
    <xf numFmtId="0" fontId="41" fillId="4" borderId="71" xfId="0" applyFont="1" applyFill="1" applyBorder="1" applyAlignment="1" applyProtection="1">
      <alignment horizontal="right" wrapText="1"/>
    </xf>
    <xf numFmtId="0" fontId="31" fillId="4" borderId="68" xfId="0" applyFont="1" applyFill="1" applyBorder="1" applyProtection="1"/>
    <xf numFmtId="3" fontId="31" fillId="4" borderId="0" xfId="0" applyNumberFormat="1" applyFont="1" applyFill="1" applyBorder="1" applyAlignment="1" applyProtection="1">
      <alignment horizontal="center" wrapText="1"/>
    </xf>
    <xf numFmtId="0" fontId="33" fillId="4" borderId="0" xfId="0" applyFont="1" applyFill="1" applyBorder="1" applyProtection="1"/>
    <xf numFmtId="0" fontId="38" fillId="4" borderId="0" xfId="0" applyFont="1" applyFill="1" applyBorder="1" applyProtection="1"/>
    <xf numFmtId="0" fontId="55" fillId="6" borderId="0" xfId="0" applyFont="1" applyFill="1" applyBorder="1" applyAlignment="1" applyProtection="1">
      <alignment horizontal="center" wrapText="1"/>
    </xf>
    <xf numFmtId="0" fontId="42" fillId="6" borderId="0" xfId="0" applyFont="1" applyFill="1" applyProtection="1"/>
    <xf numFmtId="0" fontId="41" fillId="4" borderId="33" xfId="0" applyFont="1" applyFill="1" applyBorder="1" applyProtection="1"/>
    <xf numFmtId="0" fontId="31" fillId="4" borderId="33" xfId="0" applyFont="1" applyFill="1" applyBorder="1" applyAlignment="1" applyProtection="1">
      <alignment horizontal="center" wrapText="1"/>
    </xf>
    <xf numFmtId="0" fontId="41" fillId="4" borderId="33" xfId="0" applyFont="1" applyFill="1" applyBorder="1" applyAlignment="1" applyProtection="1">
      <alignment horizontal="center" wrapText="1"/>
    </xf>
    <xf numFmtId="3" fontId="31" fillId="4" borderId="33" xfId="0" applyNumberFormat="1" applyFont="1" applyFill="1" applyBorder="1" applyAlignment="1" applyProtection="1">
      <alignment horizontal="center"/>
    </xf>
    <xf numFmtId="0" fontId="31" fillId="4" borderId="33" xfId="0" applyFont="1" applyFill="1" applyBorder="1" applyAlignment="1" applyProtection="1">
      <alignment horizontal="center"/>
    </xf>
    <xf numFmtId="3" fontId="31" fillId="0" borderId="33" xfId="0" applyNumberFormat="1" applyFont="1" applyFill="1" applyBorder="1" applyAlignment="1" applyProtection="1">
      <alignment horizontal="center"/>
    </xf>
    <xf numFmtId="3" fontId="60" fillId="4" borderId="33" xfId="0" applyNumberFormat="1" applyFont="1" applyFill="1" applyBorder="1" applyAlignment="1" applyProtection="1">
      <alignment horizontal="center"/>
    </xf>
    <xf numFmtId="0" fontId="60" fillId="52" borderId="33" xfId="0" applyFont="1" applyFill="1" applyBorder="1" applyAlignment="1" applyProtection="1">
      <alignment horizontal="centerContinuous"/>
    </xf>
    <xf numFmtId="0" fontId="60" fillId="52" borderId="34" xfId="0" applyFont="1" applyFill="1" applyBorder="1" applyAlignment="1" applyProtection="1">
      <alignment horizontal="centerContinuous"/>
    </xf>
    <xf numFmtId="0" fontId="60" fillId="52" borderId="66" xfId="0" applyFont="1" applyFill="1" applyBorder="1" applyAlignment="1" applyProtection="1">
      <alignment horizontal="centerContinuous"/>
    </xf>
    <xf numFmtId="0" fontId="60" fillId="52" borderId="76" xfId="0" applyFont="1" applyFill="1" applyBorder="1" applyAlignment="1" applyProtection="1">
      <alignment horizontal="centerContinuous" wrapText="1"/>
    </xf>
    <xf numFmtId="0" fontId="42" fillId="52" borderId="84" xfId="0" applyFont="1" applyFill="1" applyBorder="1" applyAlignment="1" applyProtection="1">
      <alignment horizontal="centerContinuous"/>
    </xf>
    <xf numFmtId="0" fontId="60" fillId="11" borderId="66" xfId="0" applyFont="1" applyFill="1" applyBorder="1" applyAlignment="1" applyProtection="1">
      <alignment horizontal="centerContinuous"/>
    </xf>
    <xf numFmtId="0" fontId="60" fillId="11" borderId="76" xfId="0" applyFont="1" applyFill="1" applyBorder="1" applyAlignment="1" applyProtection="1">
      <alignment horizontal="centerContinuous" wrapText="1"/>
    </xf>
    <xf numFmtId="0" fontId="42" fillId="11" borderId="84" xfId="0" applyFont="1" applyFill="1" applyBorder="1" applyAlignment="1" applyProtection="1">
      <alignment horizontal="centerContinuous"/>
    </xf>
    <xf numFmtId="0" fontId="60" fillId="4" borderId="33" xfId="0" applyFont="1" applyFill="1" applyBorder="1" applyAlignment="1" applyProtection="1">
      <alignment horizontal="center"/>
    </xf>
    <xf numFmtId="0" fontId="60" fillId="4" borderId="34" xfId="0" applyFont="1" applyFill="1" applyBorder="1" applyAlignment="1" applyProtection="1">
      <alignment horizontal="center"/>
    </xf>
    <xf numFmtId="0" fontId="60" fillId="4" borderId="70" xfId="0" applyFont="1" applyFill="1" applyBorder="1" applyAlignment="1" applyProtection="1">
      <alignment horizontal="center"/>
    </xf>
    <xf numFmtId="0" fontId="60" fillId="4" borderId="67" xfId="0" applyFont="1" applyFill="1" applyBorder="1" applyAlignment="1" applyProtection="1">
      <alignment horizontal="center" wrapText="1"/>
    </xf>
    <xf numFmtId="3" fontId="42" fillId="5" borderId="33" xfId="0" applyNumberFormat="1" applyFont="1" applyFill="1" applyBorder="1" applyAlignment="1" applyProtection="1">
      <alignment horizontal="center"/>
    </xf>
    <xf numFmtId="3" fontId="42" fillId="5" borderId="34" xfId="0" applyNumberFormat="1" applyFont="1" applyFill="1" applyBorder="1" applyAlignment="1" applyProtection="1">
      <alignment horizontal="center"/>
    </xf>
    <xf numFmtId="3" fontId="42" fillId="5" borderId="70" xfId="0" applyNumberFormat="1" applyFont="1" applyFill="1" applyBorder="1" applyAlignment="1" applyProtection="1">
      <alignment horizontal="center"/>
    </xf>
    <xf numFmtId="3" fontId="42" fillId="5" borderId="67" xfId="0" applyNumberFormat="1" applyFont="1" applyFill="1" applyBorder="1" applyAlignment="1" applyProtection="1">
      <alignment horizontal="center"/>
    </xf>
    <xf numFmtId="3" fontId="42" fillId="5" borderId="88" xfId="0" applyNumberFormat="1" applyFont="1" applyFill="1" applyBorder="1" applyProtection="1"/>
    <xf numFmtId="0" fontId="42" fillId="5" borderId="27" xfId="0" applyFont="1" applyFill="1" applyBorder="1" applyProtection="1"/>
    <xf numFmtId="0" fontId="42" fillId="5" borderId="18" xfId="0" applyFont="1" applyFill="1" applyBorder="1" applyProtection="1"/>
    <xf numFmtId="0" fontId="42" fillId="5" borderId="39" xfId="0" applyFont="1" applyFill="1" applyBorder="1" applyProtection="1"/>
    <xf numFmtId="3" fontId="60" fillId="5" borderId="33" xfId="0" applyNumberFormat="1" applyFont="1" applyFill="1" applyBorder="1" applyAlignment="1" applyProtection="1">
      <alignment horizontal="center"/>
    </xf>
    <xf numFmtId="3" fontId="60" fillId="5" borderId="34" xfId="0" applyNumberFormat="1" applyFont="1" applyFill="1" applyBorder="1" applyAlignment="1" applyProtection="1">
      <alignment horizontal="center"/>
    </xf>
    <xf numFmtId="3" fontId="60" fillId="5" borderId="70" xfId="0" applyNumberFormat="1" applyFont="1" applyFill="1" applyBorder="1" applyAlignment="1" applyProtection="1">
      <alignment horizontal="center"/>
    </xf>
    <xf numFmtId="3" fontId="60" fillId="5" borderId="67" xfId="0" applyNumberFormat="1" applyFont="1" applyFill="1" applyBorder="1" applyAlignment="1" applyProtection="1">
      <alignment horizontal="center"/>
    </xf>
    <xf numFmtId="3" fontId="42" fillId="5" borderId="70" xfId="0" applyNumberFormat="1" applyFont="1" applyFill="1" applyBorder="1" applyProtection="1"/>
    <xf numFmtId="3" fontId="42" fillId="5" borderId="33" xfId="0" applyNumberFormat="1" applyFont="1" applyFill="1" applyBorder="1" applyProtection="1"/>
    <xf numFmtId="0" fontId="42" fillId="7" borderId="9" xfId="0" applyFont="1" applyFill="1" applyBorder="1" applyAlignment="1" applyProtection="1">
      <alignment horizontal="centerContinuous"/>
    </xf>
    <xf numFmtId="0" fontId="42" fillId="5" borderId="27" xfId="0" applyFont="1" applyFill="1" applyBorder="1" applyAlignment="1" applyProtection="1">
      <alignment horizontal="center"/>
    </xf>
    <xf numFmtId="0" fontId="42" fillId="5" borderId="18" xfId="0" applyFont="1" applyFill="1" applyBorder="1" applyAlignment="1" applyProtection="1">
      <alignment horizontal="center"/>
    </xf>
    <xf numFmtId="0" fontId="42" fillId="5" borderId="7" xfId="0" applyFont="1" applyFill="1" applyBorder="1" applyAlignment="1" applyProtection="1">
      <alignment horizontal="center"/>
    </xf>
    <xf numFmtId="0" fontId="42" fillId="5" borderId="39" xfId="0" applyFont="1" applyFill="1" applyBorder="1" applyAlignment="1" applyProtection="1">
      <alignment horizontal="center"/>
    </xf>
    <xf numFmtId="0" fontId="42" fillId="4" borderId="14" xfId="0" applyFont="1" applyFill="1" applyBorder="1" applyProtection="1"/>
    <xf numFmtId="0" fontId="42" fillId="0" borderId="0" xfId="0" applyFont="1" applyFill="1" applyBorder="1" applyProtection="1"/>
    <xf numFmtId="0" fontId="42" fillId="0" borderId="0" xfId="0" applyFont="1" applyFill="1" applyProtection="1"/>
    <xf numFmtId="0" fontId="41" fillId="5" borderId="35" xfId="0" applyFont="1" applyFill="1" applyBorder="1" applyAlignment="1" applyProtection="1">
      <alignment horizontal="right"/>
    </xf>
    <xf numFmtId="3" fontId="41" fillId="5" borderId="35" xfId="0" applyNumberFormat="1" applyFont="1" applyFill="1" applyBorder="1" applyAlignment="1" applyProtection="1">
      <alignment horizontal="center"/>
    </xf>
    <xf numFmtId="3" fontId="41" fillId="5" borderId="36" xfId="0" applyNumberFormat="1" applyFont="1" applyFill="1" applyBorder="1" applyAlignment="1" applyProtection="1">
      <alignment horizontal="center"/>
    </xf>
    <xf numFmtId="3" fontId="41" fillId="5" borderId="78" xfId="0" applyNumberFormat="1" applyFont="1" applyFill="1" applyBorder="1" applyAlignment="1" applyProtection="1">
      <alignment horizontal="center"/>
    </xf>
    <xf numFmtId="3" fontId="41" fillId="5" borderId="41" xfId="0" applyNumberFormat="1" applyFont="1" applyFill="1" applyBorder="1" applyAlignment="1" applyProtection="1">
      <alignment horizontal="center"/>
    </xf>
    <xf numFmtId="0" fontId="41" fillId="6" borderId="33" xfId="0" applyFont="1" applyFill="1" applyBorder="1" applyAlignment="1" applyProtection="1">
      <alignment horizontal="right"/>
    </xf>
    <xf numFmtId="3" fontId="41" fillId="6" borderId="33" xfId="0" applyNumberFormat="1" applyFont="1" applyFill="1" applyBorder="1" applyAlignment="1" applyProtection="1">
      <alignment horizontal="center"/>
    </xf>
    <xf numFmtId="0" fontId="60" fillId="52" borderId="33" xfId="0" applyFont="1" applyFill="1" applyBorder="1" applyAlignment="1" applyProtection="1">
      <alignment horizontal="centerContinuous" wrapText="1"/>
    </xf>
    <xf numFmtId="3" fontId="42" fillId="0" borderId="33" xfId="0" applyNumberFormat="1" applyFont="1" applyFill="1" applyBorder="1" applyAlignment="1" applyProtection="1">
      <alignment horizontal="center"/>
    </xf>
    <xf numFmtId="3" fontId="42" fillId="4" borderId="33" xfId="0" applyNumberFormat="1" applyFont="1" applyFill="1" applyBorder="1" applyAlignment="1" applyProtection="1">
      <alignment horizontal="center"/>
    </xf>
    <xf numFmtId="3" fontId="31" fillId="49" borderId="80" xfId="0" applyNumberFormat="1" applyFont="1" applyFill="1" applyBorder="1" applyAlignment="1" applyProtection="1">
      <alignment horizontal="center"/>
      <protection locked="0"/>
    </xf>
    <xf numFmtId="3" fontId="31" fillId="49" borderId="123" xfId="0" applyNumberFormat="1" applyFont="1" applyFill="1" applyBorder="1" applyAlignment="1" applyProtection="1">
      <alignment horizontal="center"/>
      <protection locked="0"/>
    </xf>
    <xf numFmtId="9" fontId="31" fillId="49" borderId="55" xfId="0" applyNumberFormat="1" applyFont="1" applyFill="1" applyBorder="1" applyAlignment="1" applyProtection="1">
      <alignment horizontal="center"/>
      <protection locked="0"/>
    </xf>
    <xf numFmtId="3" fontId="31" fillId="49" borderId="77" xfId="0" applyNumberFormat="1" applyFont="1" applyFill="1" applyBorder="1" applyAlignment="1" applyProtection="1">
      <alignment horizontal="center" wrapText="1"/>
      <protection locked="0"/>
    </xf>
    <xf numFmtId="3" fontId="31" fillId="49" borderId="33" xfId="0" applyNumberFormat="1" applyFont="1" applyFill="1" applyBorder="1" applyAlignment="1" applyProtection="1">
      <alignment horizontal="center" wrapText="1"/>
      <protection locked="0"/>
    </xf>
    <xf numFmtId="3" fontId="0" fillId="49" borderId="67" xfId="0" applyNumberFormat="1" applyFill="1" applyBorder="1" applyAlignment="1" applyProtection="1">
      <alignment horizontal="center"/>
      <protection locked="0"/>
    </xf>
    <xf numFmtId="3" fontId="0" fillId="49" borderId="96" xfId="0" applyNumberFormat="1" applyFill="1" applyBorder="1" applyAlignment="1" applyProtection="1">
      <alignment horizontal="center"/>
      <protection locked="0"/>
    </xf>
    <xf numFmtId="0" fontId="42" fillId="4" borderId="0" xfId="0" applyFont="1" applyFill="1" applyAlignment="1" applyProtection="1">
      <alignment horizontal="center"/>
    </xf>
    <xf numFmtId="0" fontId="42" fillId="4" borderId="0" xfId="0" applyFont="1" applyFill="1" applyAlignment="1" applyProtection="1">
      <alignment horizontal="center" wrapText="1"/>
    </xf>
    <xf numFmtId="0" fontId="0" fillId="4" borderId="0" xfId="0" applyFont="1" applyFill="1" applyProtection="1"/>
    <xf numFmtId="0" fontId="31" fillId="4" borderId="53" xfId="0" applyFont="1" applyFill="1" applyBorder="1" applyProtection="1"/>
    <xf numFmtId="0" fontId="31" fillId="4" borderId="54" xfId="0" applyFont="1" applyFill="1" applyBorder="1" applyAlignment="1" applyProtection="1">
      <alignment horizontal="center" wrapText="1"/>
    </xf>
    <xf numFmtId="0" fontId="0" fillId="4" borderId="0" xfId="0" applyFont="1" applyFill="1" applyBorder="1" applyProtection="1"/>
    <xf numFmtId="0" fontId="31" fillId="4" borderId="0" xfId="0" applyFont="1" applyFill="1" applyBorder="1" applyAlignment="1" applyProtection="1">
      <alignment wrapText="1"/>
    </xf>
    <xf numFmtId="0" fontId="48" fillId="6" borderId="0" xfId="0" applyFont="1" applyFill="1" applyProtection="1"/>
    <xf numFmtId="0" fontId="36" fillId="6" borderId="0" xfId="0" applyFont="1" applyFill="1" applyAlignment="1" applyProtection="1"/>
    <xf numFmtId="0" fontId="48" fillId="6" borderId="0" xfId="0" applyFont="1" applyFill="1" applyAlignment="1" applyProtection="1"/>
    <xf numFmtId="0" fontId="48" fillId="6" borderId="0" xfId="0" applyFont="1" applyFill="1" applyAlignment="1" applyProtection="1">
      <alignment horizontal="center"/>
    </xf>
    <xf numFmtId="0" fontId="48" fillId="6" borderId="0" xfId="0" applyFont="1" applyFill="1" applyBorder="1" applyProtection="1"/>
    <xf numFmtId="0" fontId="41" fillId="4" borderId="0" xfId="0" applyFont="1" applyFill="1" applyBorder="1" applyAlignment="1" applyProtection="1"/>
    <xf numFmtId="0" fontId="31" fillId="4" borderId="0" xfId="0" applyFont="1" applyFill="1" applyAlignment="1" applyProtection="1"/>
    <xf numFmtId="0" fontId="49" fillId="4" borderId="0" xfId="0" applyFont="1" applyFill="1" applyAlignment="1" applyProtection="1">
      <alignment horizontal="center"/>
    </xf>
    <xf numFmtId="0" fontId="83" fillId="4" borderId="0" xfId="0" applyFont="1" applyFill="1" applyBorder="1" applyAlignment="1" applyProtection="1"/>
    <xf numFmtId="0" fontId="48" fillId="4" borderId="0" xfId="0" applyFont="1" applyFill="1" applyProtection="1"/>
    <xf numFmtId="0" fontId="48" fillId="4" borderId="0" xfId="0" applyFont="1" applyFill="1" applyAlignment="1" applyProtection="1">
      <alignment horizontal="center"/>
    </xf>
    <xf numFmtId="0" fontId="0" fillId="4" borderId="0" xfId="0" applyFont="1" applyFill="1" applyAlignment="1" applyProtection="1">
      <alignment horizontal="center"/>
    </xf>
    <xf numFmtId="0" fontId="48" fillId="4" borderId="0" xfId="0" applyFont="1" applyFill="1" applyBorder="1" applyProtection="1"/>
    <xf numFmtId="0" fontId="41" fillId="7" borderId="70" xfId="0" applyFont="1" applyFill="1" applyBorder="1" applyProtection="1"/>
    <xf numFmtId="3" fontId="31" fillId="7" borderId="67" xfId="0" applyNumberFormat="1" applyFont="1" applyFill="1" applyBorder="1" applyAlignment="1" applyProtection="1">
      <alignment horizontal="center"/>
    </xf>
    <xf numFmtId="0" fontId="31" fillId="9" borderId="41" xfId="0" applyFont="1" applyFill="1" applyBorder="1" applyAlignment="1" applyProtection="1">
      <alignment horizontal="center"/>
    </xf>
    <xf numFmtId="0" fontId="35" fillId="4" borderId="0" xfId="0" applyFont="1" applyFill="1" applyBorder="1" applyProtection="1"/>
    <xf numFmtId="0" fontId="31" fillId="10" borderId="70" xfId="0" applyFont="1" applyFill="1" applyBorder="1" applyProtection="1"/>
    <xf numFmtId="0" fontId="31" fillId="10" borderId="67" xfId="0" applyFont="1" applyFill="1" applyBorder="1" applyAlignment="1" applyProtection="1">
      <alignment horizontal="center"/>
    </xf>
    <xf numFmtId="3" fontId="41" fillId="7" borderId="70" xfId="0" applyNumberFormat="1" applyFont="1" applyFill="1" applyBorder="1" applyProtection="1"/>
    <xf numFmtId="0" fontId="41" fillId="10" borderId="70" xfId="0" applyFont="1" applyFill="1" applyBorder="1" applyProtection="1"/>
    <xf numFmtId="3" fontId="41" fillId="10" borderId="67" xfId="0" applyNumberFormat="1" applyFont="1" applyFill="1" applyBorder="1" applyAlignment="1" applyProtection="1">
      <alignment horizontal="center"/>
    </xf>
    <xf numFmtId="0" fontId="51" fillId="4" borderId="0" xfId="0" applyFont="1" applyFill="1" applyProtection="1"/>
    <xf numFmtId="0" fontId="41" fillId="10" borderId="78" xfId="0" applyFont="1" applyFill="1" applyBorder="1" applyProtection="1"/>
    <xf numFmtId="2" fontId="41" fillId="10" borderId="41" xfId="0" applyNumberFormat="1" applyFont="1" applyFill="1" applyBorder="1" applyAlignment="1" applyProtection="1">
      <alignment horizontal="center"/>
    </xf>
    <xf numFmtId="0" fontId="41" fillId="4" borderId="0" xfId="0" applyFont="1" applyFill="1" applyBorder="1" applyAlignment="1" applyProtection="1">
      <alignment horizontal="center"/>
    </xf>
    <xf numFmtId="0" fontId="16" fillId="4" borderId="0" xfId="0" applyFont="1" applyFill="1" applyBorder="1" applyAlignment="1" applyProtection="1">
      <alignment horizontal="center"/>
    </xf>
    <xf numFmtId="0" fontId="0" fillId="4" borderId="0" xfId="0" applyFill="1" applyProtection="1"/>
    <xf numFmtId="2" fontId="0" fillId="4" borderId="0" xfId="0" applyNumberFormat="1" applyFill="1" applyProtection="1"/>
    <xf numFmtId="0" fontId="0" fillId="4" borderId="0" xfId="0" applyFont="1" applyFill="1" applyAlignment="1" applyProtection="1">
      <alignment vertical="center"/>
    </xf>
    <xf numFmtId="0" fontId="0" fillId="4" borderId="0" xfId="0" applyNumberFormat="1" applyFont="1" applyFill="1" applyAlignment="1" applyProtection="1">
      <alignment horizontal="center" vertical="center"/>
    </xf>
    <xf numFmtId="0" fontId="0" fillId="4" borderId="0" xfId="0" applyFill="1" applyAlignment="1" applyProtection="1">
      <alignment vertical="center"/>
    </xf>
    <xf numFmtId="0" fontId="16" fillId="4" borderId="0" xfId="0" applyFont="1" applyFill="1" applyBorder="1" applyAlignment="1" applyProtection="1">
      <alignment vertical="center" wrapText="1"/>
    </xf>
    <xf numFmtId="0" fontId="16" fillId="4" borderId="0" xfId="0" applyFont="1" applyFill="1" applyBorder="1" applyAlignment="1" applyProtection="1">
      <alignment horizontal="center" wrapText="1"/>
    </xf>
    <xf numFmtId="0" fontId="22" fillId="4" borderId="0" xfId="0" applyFont="1" applyFill="1" applyBorder="1" applyAlignment="1" applyProtection="1">
      <alignment horizontal="center" wrapText="1"/>
    </xf>
    <xf numFmtId="0" fontId="109" fillId="4" borderId="66" xfId="0" applyFont="1" applyFill="1" applyBorder="1" applyAlignment="1" applyProtection="1">
      <alignment horizontal="left" vertical="center"/>
    </xf>
    <xf numFmtId="0" fontId="109" fillId="4" borderId="76" xfId="0" applyFont="1" applyFill="1" applyBorder="1" applyAlignment="1" applyProtection="1">
      <alignment horizontal="left" vertical="center"/>
    </xf>
    <xf numFmtId="0" fontId="109" fillId="4" borderId="69" xfId="0" applyFont="1" applyFill="1" applyBorder="1" applyAlignment="1" applyProtection="1">
      <alignment horizontal="left" vertical="center" wrapText="1"/>
    </xf>
    <xf numFmtId="0" fontId="31" fillId="9" borderId="70" xfId="0" applyFont="1" applyFill="1" applyBorder="1" applyProtection="1"/>
    <xf numFmtId="2" fontId="31" fillId="9" borderId="33" xfId="0" applyNumberFormat="1" applyFont="1" applyFill="1" applyBorder="1" applyAlignment="1" applyProtection="1">
      <alignment horizontal="center"/>
    </xf>
    <xf numFmtId="4" fontId="31" fillId="10" borderId="70" xfId="0" applyNumberFormat="1" applyFont="1" applyFill="1" applyBorder="1" applyAlignment="1" applyProtection="1">
      <alignment horizontal="center"/>
    </xf>
    <xf numFmtId="0" fontId="31" fillId="10" borderId="33" xfId="0" applyFont="1" applyFill="1" applyBorder="1" applyAlignment="1" applyProtection="1">
      <alignment horizontal="center"/>
    </xf>
    <xf numFmtId="3" fontId="31" fillId="10" borderId="67" xfId="0" applyNumberFormat="1" applyFont="1" applyFill="1" applyBorder="1" applyAlignment="1" applyProtection="1">
      <alignment horizontal="center"/>
    </xf>
    <xf numFmtId="0" fontId="110" fillId="4" borderId="70" xfId="0" applyFont="1" applyFill="1" applyBorder="1" applyAlignment="1" applyProtection="1">
      <alignment horizontal="left" vertical="center"/>
    </xf>
    <xf numFmtId="164" fontId="110" fillId="4" borderId="33" xfId="0" applyNumberFormat="1" applyFont="1" applyFill="1" applyBorder="1" applyAlignment="1" applyProtection="1">
      <alignment horizontal="left" vertical="center"/>
    </xf>
    <xf numFmtId="3" fontId="110" fillId="4" borderId="67" xfId="0" applyNumberFormat="1" applyFont="1" applyFill="1" applyBorder="1" applyAlignment="1" applyProtection="1">
      <alignment horizontal="left" vertical="center"/>
    </xf>
    <xf numFmtId="3" fontId="31" fillId="10" borderId="33" xfId="0" applyNumberFormat="1" applyFont="1" applyFill="1" applyBorder="1" applyAlignment="1" applyProtection="1">
      <alignment horizontal="center"/>
    </xf>
    <xf numFmtId="9" fontId="31" fillId="10" borderId="33" xfId="2" applyFont="1" applyFill="1" applyBorder="1" applyAlignment="1" applyProtection="1">
      <alignment horizontal="center"/>
    </xf>
    <xf numFmtId="0" fontId="16" fillId="4" borderId="0" xfId="0" applyFont="1" applyFill="1" applyAlignment="1" applyProtection="1">
      <alignment horizontal="center"/>
    </xf>
    <xf numFmtId="0" fontId="0" fillId="4" borderId="0" xfId="0" applyFill="1" applyAlignment="1" applyProtection="1">
      <alignment horizontal="center"/>
    </xf>
    <xf numFmtId="0" fontId="31" fillId="9" borderId="95" xfId="0" applyFont="1" applyFill="1" applyBorder="1" applyProtection="1"/>
    <xf numFmtId="2" fontId="31" fillId="9" borderId="55" xfId="0" applyNumberFormat="1" applyFont="1" applyFill="1" applyBorder="1" applyAlignment="1" applyProtection="1">
      <alignment horizontal="center"/>
    </xf>
    <xf numFmtId="4" fontId="31" fillId="10" borderId="95" xfId="0" applyNumberFormat="1" applyFont="1" applyFill="1" applyBorder="1" applyAlignment="1" applyProtection="1">
      <alignment horizontal="center"/>
    </xf>
    <xf numFmtId="0" fontId="41" fillId="9" borderId="28" xfId="0" applyFont="1" applyFill="1" applyBorder="1" applyAlignment="1" applyProtection="1">
      <alignment horizontal="right"/>
    </xf>
    <xf numFmtId="2" fontId="41" fillId="9" borderId="21" xfId="0" applyNumberFormat="1" applyFont="1" applyFill="1" applyBorder="1" applyAlignment="1" applyProtection="1">
      <alignment horizontal="center"/>
    </xf>
    <xf numFmtId="3" fontId="41" fillId="10" borderId="28" xfId="0" applyNumberFormat="1" applyFont="1" applyFill="1" applyBorder="1" applyAlignment="1" applyProtection="1">
      <alignment horizontal="center"/>
    </xf>
    <xf numFmtId="3" fontId="41" fillId="10" borderId="6" xfId="0" applyNumberFormat="1" applyFont="1" applyFill="1" applyBorder="1" applyAlignment="1" applyProtection="1">
      <alignment horizontal="center"/>
    </xf>
    <xf numFmtId="0" fontId="110" fillId="4" borderId="71" xfId="0" applyFont="1" applyFill="1" applyBorder="1" applyAlignment="1" applyProtection="1">
      <alignment horizontal="left" vertical="center"/>
    </xf>
    <xf numFmtId="165" fontId="110" fillId="4" borderId="77" xfId="0" applyNumberFormat="1" applyFont="1" applyFill="1" applyBorder="1" applyAlignment="1" applyProtection="1">
      <alignment horizontal="left" vertical="center"/>
    </xf>
    <xf numFmtId="167" fontId="110" fillId="4" borderId="68" xfId="0" applyNumberFormat="1" applyFont="1" applyFill="1" applyBorder="1" applyAlignment="1" applyProtection="1">
      <alignment horizontal="left" vertical="center"/>
    </xf>
    <xf numFmtId="0" fontId="0" fillId="4" borderId="0" xfId="0" applyFill="1" applyAlignment="1" applyProtection="1">
      <alignment horizontal="right"/>
    </xf>
    <xf numFmtId="0" fontId="0" fillId="4" borderId="0" xfId="0" applyFill="1" applyBorder="1" applyProtection="1"/>
    <xf numFmtId="0" fontId="47" fillId="4" borderId="0" xfId="0" applyFont="1" applyFill="1" applyBorder="1" applyAlignment="1" applyProtection="1"/>
    <xf numFmtId="3" fontId="0" fillId="10" borderId="70" xfId="0" applyNumberFormat="1" applyFill="1" applyBorder="1" applyAlignment="1" applyProtection="1">
      <alignment horizontal="center"/>
    </xf>
    <xf numFmtId="0" fontId="11" fillId="4" borderId="0" xfId="0" applyFont="1" applyFill="1" applyBorder="1" applyProtection="1"/>
    <xf numFmtId="3" fontId="0" fillId="10" borderId="27" xfId="0" applyNumberFormat="1" applyFill="1" applyBorder="1" applyAlignment="1" applyProtection="1">
      <alignment horizontal="center"/>
    </xf>
    <xf numFmtId="0" fontId="31" fillId="4" borderId="40" xfId="0" applyFont="1" applyFill="1" applyBorder="1" applyAlignment="1" applyProtection="1">
      <alignment horizontal="center"/>
    </xf>
    <xf numFmtId="3" fontId="0" fillId="10" borderId="78" xfId="0" applyNumberFormat="1" applyFill="1" applyBorder="1" applyAlignment="1" applyProtection="1">
      <alignment horizontal="center"/>
    </xf>
    <xf numFmtId="164" fontId="0" fillId="4" borderId="0" xfId="0" applyNumberFormat="1" applyFont="1" applyFill="1" applyBorder="1" applyAlignment="1" applyProtection="1">
      <alignment horizontal="center"/>
    </xf>
    <xf numFmtId="3" fontId="31" fillId="4" borderId="0" xfId="0" applyNumberFormat="1" applyFont="1" applyFill="1" applyBorder="1" applyAlignment="1" applyProtection="1">
      <alignment horizontal="center"/>
    </xf>
    <xf numFmtId="3" fontId="0" fillId="10" borderId="66" xfId="0" applyNumberFormat="1" applyFill="1" applyBorder="1" applyAlignment="1" applyProtection="1">
      <alignment horizontal="center"/>
    </xf>
    <xf numFmtId="3" fontId="0" fillId="10" borderId="71" xfId="0" applyNumberFormat="1" applyFill="1" applyBorder="1" applyAlignment="1" applyProtection="1">
      <alignment horizontal="center"/>
    </xf>
    <xf numFmtId="3" fontId="0" fillId="10" borderId="79" xfId="0" applyNumberFormat="1" applyFill="1" applyBorder="1" applyAlignment="1" applyProtection="1">
      <alignment horizontal="center"/>
    </xf>
    <xf numFmtId="0" fontId="16" fillId="4" borderId="0" xfId="0" applyFont="1" applyFill="1" applyProtection="1"/>
    <xf numFmtId="0" fontId="0" fillId="4" borderId="0" xfId="0" applyFill="1" applyBorder="1" applyAlignment="1" applyProtection="1">
      <alignment horizontal="center"/>
    </xf>
    <xf numFmtId="0" fontId="15" fillId="4" borderId="0" xfId="0" applyFont="1" applyFill="1" applyBorder="1" applyProtection="1"/>
    <xf numFmtId="0" fontId="15" fillId="4" borderId="0" xfId="0" applyFont="1" applyFill="1" applyBorder="1" applyAlignment="1" applyProtection="1">
      <alignment horizontal="center"/>
    </xf>
    <xf numFmtId="2" fontId="15" fillId="4" borderId="0" xfId="0" applyNumberFormat="1" applyFont="1" applyFill="1" applyBorder="1" applyAlignment="1" applyProtection="1">
      <alignment horizontal="center"/>
    </xf>
    <xf numFmtId="165" fontId="15" fillId="4" borderId="0" xfId="0" applyNumberFormat="1" applyFont="1" applyFill="1" applyBorder="1" applyAlignment="1" applyProtection="1">
      <alignment horizontal="center"/>
    </xf>
    <xf numFmtId="3" fontId="15" fillId="4" borderId="0" xfId="0" applyNumberFormat="1" applyFont="1" applyFill="1" applyBorder="1" applyAlignment="1" applyProtection="1">
      <alignment horizontal="center"/>
    </xf>
    <xf numFmtId="4" fontId="15" fillId="4" borderId="0" xfId="0" applyNumberFormat="1" applyFont="1" applyFill="1" applyBorder="1" applyAlignment="1" applyProtection="1">
      <alignment horizontal="center"/>
    </xf>
    <xf numFmtId="167" fontId="15" fillId="4" borderId="0" xfId="0" applyNumberFormat="1" applyFont="1" applyFill="1" applyBorder="1" applyAlignment="1" applyProtection="1">
      <alignment horizontal="center"/>
    </xf>
    <xf numFmtId="3" fontId="0" fillId="4" borderId="0" xfId="0" applyNumberFormat="1" applyFill="1" applyProtection="1"/>
    <xf numFmtId="0" fontId="24" fillId="4" borderId="0" xfId="0" applyFont="1" applyFill="1" applyBorder="1" applyAlignment="1" applyProtection="1">
      <alignment horizontal="center"/>
    </xf>
    <xf numFmtId="0" fontId="0" fillId="4" borderId="0" xfId="0" applyFill="1" applyBorder="1" applyAlignment="1" applyProtection="1">
      <alignment vertical="center"/>
    </xf>
    <xf numFmtId="0" fontId="15" fillId="4" borderId="0" xfId="0" applyFont="1" applyFill="1" applyAlignment="1" applyProtection="1">
      <alignment vertical="center"/>
    </xf>
    <xf numFmtId="0" fontId="16" fillId="4" borderId="0" xfId="0" applyFont="1" applyFill="1" applyAlignment="1" applyProtection="1">
      <alignment horizontal="center" vertical="top"/>
    </xf>
    <xf numFmtId="0" fontId="60" fillId="4" borderId="30" xfId="0" applyFont="1" applyFill="1" applyBorder="1" applyAlignment="1" applyProtection="1">
      <alignment horizontal="center"/>
    </xf>
    <xf numFmtId="0" fontId="60" fillId="4" borderId="30" xfId="0" applyFont="1" applyFill="1" applyBorder="1" applyAlignment="1" applyProtection="1">
      <alignment horizontal="center" wrapText="1"/>
    </xf>
    <xf numFmtId="0" fontId="0" fillId="4" borderId="0" xfId="0" applyFill="1" applyAlignment="1" applyProtection="1">
      <alignment vertical="top"/>
    </xf>
    <xf numFmtId="0" fontId="42" fillId="4" borderId="33" xfId="0" applyFont="1" applyFill="1" applyBorder="1" applyAlignment="1" applyProtection="1">
      <alignment horizontal="right"/>
    </xf>
    <xf numFmtId="3" fontId="42" fillId="4" borderId="33" xfId="0" applyNumberFormat="1" applyFont="1" applyFill="1" applyBorder="1" applyAlignment="1" applyProtection="1">
      <alignment horizontal="center" wrapText="1"/>
    </xf>
    <xf numFmtId="3" fontId="60" fillId="4" borderId="33" xfId="0" applyNumberFormat="1" applyFont="1" applyFill="1" applyBorder="1" applyAlignment="1" applyProtection="1">
      <alignment horizontal="center" wrapText="1"/>
    </xf>
    <xf numFmtId="0" fontId="23" fillId="4" borderId="0" xfId="0" applyFont="1" applyFill="1" applyAlignment="1" applyProtection="1">
      <alignment horizontal="center" vertical="top"/>
    </xf>
    <xf numFmtId="0" fontId="16" fillId="4" borderId="0" xfId="0" applyFont="1" applyFill="1" applyBorder="1" applyAlignment="1" applyProtection="1">
      <alignment horizontal="center" vertical="top"/>
    </xf>
    <xf numFmtId="0" fontId="16" fillId="4" borderId="33" xfId="0" applyFont="1" applyFill="1" applyBorder="1" applyAlignment="1" applyProtection="1">
      <alignment horizontal="right"/>
    </xf>
    <xf numFmtId="3" fontId="16" fillId="4" borderId="33" xfId="0" applyNumberFormat="1" applyFont="1" applyFill="1" applyBorder="1" applyAlignment="1" applyProtection="1">
      <alignment horizontal="center" vertical="top"/>
    </xf>
    <xf numFmtId="0" fontId="15" fillId="4" borderId="0" xfId="0" applyFont="1" applyFill="1" applyAlignment="1" applyProtection="1">
      <alignment vertical="top"/>
    </xf>
    <xf numFmtId="0" fontId="15" fillId="4" borderId="0" xfId="0" applyFont="1" applyFill="1" applyBorder="1" applyAlignment="1" applyProtection="1">
      <alignment vertical="top"/>
    </xf>
    <xf numFmtId="0" fontId="15" fillId="4" borderId="0" xfId="0" quotePrefix="1" applyFont="1" applyFill="1" applyBorder="1" applyAlignment="1" applyProtection="1">
      <alignment vertical="top"/>
    </xf>
    <xf numFmtId="0" fontId="16" fillId="4" borderId="0" xfId="0" applyFont="1" applyFill="1" applyAlignment="1" applyProtection="1">
      <alignment vertical="top"/>
    </xf>
    <xf numFmtId="0" fontId="16" fillId="4" borderId="0" xfId="0" applyFont="1" applyFill="1" applyAlignment="1" applyProtection="1">
      <alignment vertical="top" wrapText="1"/>
    </xf>
    <xf numFmtId="0" fontId="0" fillId="4" borderId="33" xfId="0" applyFont="1" applyFill="1" applyBorder="1" applyAlignment="1" applyProtection="1">
      <alignment vertical="top"/>
    </xf>
    <xf numFmtId="0" fontId="0" fillId="4" borderId="33" xfId="0" applyFill="1" applyBorder="1" applyAlignment="1" applyProtection="1">
      <alignment horizontal="center" vertical="top"/>
    </xf>
    <xf numFmtId="0" fontId="0" fillId="4" borderId="33" xfId="0" applyFont="1" applyFill="1" applyBorder="1" applyAlignment="1" applyProtection="1">
      <alignment horizontal="center" vertical="top"/>
    </xf>
    <xf numFmtId="0" fontId="41" fillId="4" borderId="33" xfId="0" applyFont="1" applyFill="1" applyBorder="1" applyAlignment="1" applyProtection="1">
      <alignment horizontal="center"/>
    </xf>
    <xf numFmtId="0" fontId="0" fillId="4" borderId="33" xfId="0" applyFont="1" applyFill="1" applyBorder="1" applyAlignment="1" applyProtection="1">
      <alignment vertical="top" wrapText="1"/>
    </xf>
    <xf numFmtId="3" fontId="15" fillId="4" borderId="33" xfId="0" applyNumberFormat="1" applyFont="1" applyFill="1" applyBorder="1" applyAlignment="1" applyProtection="1">
      <alignment horizontal="center" vertical="top" wrapText="1"/>
    </xf>
    <xf numFmtId="3" fontId="41" fillId="4" borderId="33" xfId="0" applyNumberFormat="1" applyFont="1" applyFill="1" applyBorder="1" applyAlignment="1" applyProtection="1">
      <alignment horizontal="center"/>
    </xf>
    <xf numFmtId="0" fontId="0" fillId="4" borderId="33" xfId="0" applyFill="1" applyBorder="1" applyProtection="1"/>
    <xf numFmtId="0" fontId="21" fillId="4" borderId="0" xfId="0" applyFont="1" applyFill="1" applyProtection="1"/>
    <xf numFmtId="3" fontId="16" fillId="4" borderId="33" xfId="0" applyNumberFormat="1" applyFont="1" applyFill="1" applyBorder="1" applyAlignment="1" applyProtection="1">
      <alignment horizontal="center"/>
    </xf>
    <xf numFmtId="167" fontId="41" fillId="4" borderId="0" xfId="0" applyNumberFormat="1" applyFont="1" applyFill="1" applyBorder="1" applyAlignment="1" applyProtection="1">
      <alignment horizontal="center"/>
    </xf>
    <xf numFmtId="3" fontId="0" fillId="49" borderId="31" xfId="0" applyNumberFormat="1" applyFill="1" applyBorder="1" applyAlignment="1" applyProtection="1">
      <alignment horizontal="center"/>
      <protection locked="0"/>
    </xf>
    <xf numFmtId="3" fontId="0" fillId="49" borderId="15" xfId="0" applyNumberFormat="1" applyFill="1" applyBorder="1" applyAlignment="1" applyProtection="1">
      <alignment horizontal="center"/>
      <protection locked="0"/>
    </xf>
    <xf numFmtId="3" fontId="0" fillId="49" borderId="12" xfId="0" applyNumberFormat="1" applyFill="1" applyBorder="1" applyAlignment="1" applyProtection="1">
      <alignment horizontal="center"/>
      <protection locked="0"/>
    </xf>
    <xf numFmtId="0" fontId="31" fillId="4" borderId="40" xfId="0" applyFont="1" applyFill="1" applyBorder="1" applyAlignment="1" applyProtection="1"/>
    <xf numFmtId="0" fontId="31" fillId="4" borderId="40" xfId="0" applyFont="1" applyFill="1" applyBorder="1" applyAlignment="1" applyProtection="1">
      <alignment horizontal="right"/>
    </xf>
    <xf numFmtId="0" fontId="31" fillId="9" borderId="65" xfId="0" applyFont="1" applyFill="1" applyBorder="1" applyAlignment="1" applyProtection="1">
      <alignment horizontal="center"/>
    </xf>
    <xf numFmtId="0" fontId="31" fillId="4" borderId="53" xfId="0" applyFont="1" applyFill="1" applyBorder="1" applyAlignment="1" applyProtection="1">
      <alignment horizontal="right"/>
    </xf>
    <xf numFmtId="0" fontId="73" fillId="4" borderId="0" xfId="0" applyFont="1" applyFill="1" applyBorder="1" applyAlignment="1" applyProtection="1"/>
    <xf numFmtId="0" fontId="48" fillId="4" borderId="0" xfId="0" applyFont="1" applyFill="1" applyAlignment="1" applyProtection="1"/>
    <xf numFmtId="0" fontId="38" fillId="4" borderId="0" xfId="0" applyFont="1" applyFill="1" applyProtection="1"/>
    <xf numFmtId="3" fontId="0" fillId="7" borderId="85" xfId="0" applyNumberFormat="1" applyFont="1" applyFill="1" applyBorder="1" applyAlignment="1" applyProtection="1">
      <alignment horizontal="center"/>
    </xf>
    <xf numFmtId="0" fontId="77" fillId="4" borderId="0" xfId="0" applyFont="1" applyFill="1" applyAlignment="1" applyProtection="1">
      <alignment horizontal="left"/>
    </xf>
    <xf numFmtId="0" fontId="100" fillId="4" borderId="0" xfId="0" applyFont="1" applyFill="1" applyAlignment="1" applyProtection="1">
      <alignment horizontal="left"/>
    </xf>
    <xf numFmtId="3" fontId="0" fillId="10" borderId="85" xfId="0" applyNumberFormat="1" applyFont="1" applyFill="1" applyBorder="1" applyAlignment="1" applyProtection="1">
      <alignment horizontal="center"/>
    </xf>
    <xf numFmtId="4" fontId="0" fillId="10" borderId="121" xfId="0" applyNumberFormat="1" applyFont="1" applyFill="1" applyBorder="1" applyAlignment="1" applyProtection="1">
      <alignment horizontal="center"/>
    </xf>
    <xf numFmtId="0" fontId="81" fillId="4" borderId="0" xfId="7" applyFont="1" applyFill="1" applyBorder="1" applyProtection="1"/>
    <xf numFmtId="4" fontId="0" fillId="4" borderId="0" xfId="0" applyNumberFormat="1" applyFont="1" applyFill="1" applyBorder="1" applyAlignment="1" applyProtection="1">
      <alignment horizontal="center"/>
    </xf>
    <xf numFmtId="0" fontId="81" fillId="9" borderId="66" xfId="7" applyFont="1" applyFill="1" applyBorder="1" applyProtection="1"/>
    <xf numFmtId="4" fontId="31" fillId="9" borderId="69" xfId="0" applyNumberFormat="1" applyFont="1" applyFill="1" applyBorder="1" applyAlignment="1" applyProtection="1">
      <alignment horizontal="center"/>
    </xf>
    <xf numFmtId="0" fontId="48" fillId="4" borderId="0" xfId="0" applyFont="1" applyFill="1" applyAlignment="1" applyProtection="1">
      <alignment horizontal="center" wrapText="1"/>
    </xf>
    <xf numFmtId="0" fontId="48" fillId="4" borderId="0" xfId="0" applyFont="1" applyFill="1" applyAlignment="1" applyProtection="1">
      <alignment wrapText="1"/>
    </xf>
    <xf numFmtId="0" fontId="48" fillId="4" borderId="0" xfId="0" applyFont="1" applyFill="1" applyBorder="1" applyAlignment="1" applyProtection="1">
      <alignment wrapText="1"/>
    </xf>
    <xf numFmtId="0" fontId="31" fillId="9" borderId="27" xfId="0" applyFont="1" applyFill="1" applyBorder="1" applyAlignment="1" applyProtection="1">
      <alignment wrapText="1"/>
    </xf>
    <xf numFmtId="2" fontId="31" fillId="9" borderId="18" xfId="0" applyNumberFormat="1" applyFont="1" applyFill="1" applyBorder="1" applyAlignment="1" applyProtection="1">
      <alignment horizontal="center" wrapText="1"/>
    </xf>
    <xf numFmtId="3" fontId="31" fillId="10" borderId="27" xfId="0" applyNumberFormat="1" applyFont="1" applyFill="1" applyBorder="1" applyAlignment="1" applyProtection="1">
      <alignment horizontal="center" wrapText="1"/>
    </xf>
    <xf numFmtId="3" fontId="31" fillId="10" borderId="15" xfId="0" applyNumberFormat="1" applyFont="1" applyFill="1" applyBorder="1" applyAlignment="1" applyProtection="1">
      <alignment horizontal="center" wrapText="1"/>
    </xf>
    <xf numFmtId="3" fontId="31" fillId="10" borderId="30" xfId="0" applyNumberFormat="1" applyFont="1" applyFill="1" applyBorder="1" applyAlignment="1" applyProtection="1">
      <alignment horizontal="center" wrapText="1"/>
    </xf>
    <xf numFmtId="3" fontId="31" fillId="10" borderId="3" xfId="0" applyNumberFormat="1" applyFont="1" applyFill="1" applyBorder="1" applyAlignment="1" applyProtection="1">
      <alignment horizontal="center" wrapText="1"/>
    </xf>
    <xf numFmtId="3" fontId="31" fillId="10" borderId="18" xfId="0" applyNumberFormat="1" applyFont="1" applyFill="1" applyBorder="1" applyAlignment="1" applyProtection="1">
      <alignment horizontal="center" wrapText="1"/>
    </xf>
    <xf numFmtId="0" fontId="0" fillId="4" borderId="0" xfId="0" applyFill="1" applyBorder="1" applyAlignment="1" applyProtection="1">
      <alignment horizontal="center" wrapText="1"/>
    </xf>
    <xf numFmtId="0" fontId="31" fillId="9" borderId="118" xfId="0" applyFont="1" applyFill="1" applyBorder="1" applyAlignment="1" applyProtection="1">
      <alignment wrapText="1"/>
    </xf>
    <xf numFmtId="2" fontId="31" fillId="9" borderId="48" xfId="0" applyNumberFormat="1" applyFont="1" applyFill="1" applyBorder="1" applyAlignment="1" applyProtection="1">
      <alignment horizontal="center" wrapText="1"/>
    </xf>
    <xf numFmtId="3" fontId="31" fillId="10" borderId="12" xfId="0" applyNumberFormat="1" applyFont="1" applyFill="1" applyBorder="1" applyAlignment="1" applyProtection="1">
      <alignment horizontal="center" wrapText="1"/>
    </xf>
    <xf numFmtId="3" fontId="31" fillId="10" borderId="48" xfId="0" applyNumberFormat="1" applyFont="1" applyFill="1" applyBorder="1" applyAlignment="1" applyProtection="1">
      <alignment horizontal="center" wrapText="1"/>
    </xf>
    <xf numFmtId="3" fontId="31" fillId="10" borderId="119" xfId="0" applyNumberFormat="1" applyFont="1" applyFill="1" applyBorder="1" applyAlignment="1" applyProtection="1">
      <alignment horizontal="center" wrapText="1"/>
    </xf>
    <xf numFmtId="0" fontId="41" fillId="9" borderId="28" xfId="7" applyFont="1" applyFill="1" applyBorder="1" applyAlignment="1" applyProtection="1">
      <alignment vertical="center" wrapText="1"/>
    </xf>
    <xf numFmtId="3" fontId="41" fillId="10" borderId="100" xfId="0" applyNumberFormat="1" applyFont="1" applyFill="1" applyBorder="1" applyAlignment="1" applyProtection="1">
      <alignment horizontal="center"/>
    </xf>
    <xf numFmtId="3" fontId="41" fillId="10" borderId="49" xfId="0" applyNumberFormat="1" applyFont="1" applyFill="1" applyBorder="1" applyAlignment="1" applyProtection="1">
      <alignment horizontal="center" wrapText="1"/>
    </xf>
    <xf numFmtId="0" fontId="121" fillId="4" borderId="0" xfId="7" applyFont="1" applyFill="1" applyBorder="1" applyAlignment="1" applyProtection="1">
      <alignment vertical="center"/>
    </xf>
    <xf numFmtId="166" fontId="16" fillId="4" borderId="0" xfId="0" applyNumberFormat="1" applyFont="1" applyFill="1" applyBorder="1" applyAlignment="1" applyProtection="1">
      <alignment horizontal="center" wrapText="1"/>
    </xf>
    <xf numFmtId="0" fontId="15" fillId="4" borderId="0" xfId="0" applyFont="1" applyFill="1" applyBorder="1" applyAlignment="1" applyProtection="1">
      <alignment horizontal="left" wrapText="1"/>
    </xf>
    <xf numFmtId="0" fontId="0" fillId="4" borderId="0" xfId="0" applyFill="1" applyBorder="1" applyAlignment="1" applyProtection="1">
      <alignment wrapText="1"/>
    </xf>
    <xf numFmtId="10" fontId="0" fillId="4" borderId="0" xfId="0" applyNumberFormat="1" applyFill="1" applyBorder="1" applyAlignment="1" applyProtection="1">
      <alignment horizontal="center" wrapText="1"/>
    </xf>
    <xf numFmtId="3" fontId="31" fillId="10" borderId="69" xfId="0" applyNumberFormat="1" applyFont="1" applyFill="1" applyBorder="1" applyAlignment="1" applyProtection="1">
      <alignment horizontal="center"/>
    </xf>
    <xf numFmtId="10" fontId="0" fillId="4" borderId="0" xfId="0" applyNumberFormat="1" applyFill="1" applyBorder="1" applyAlignment="1" applyProtection="1">
      <alignment horizontal="center"/>
    </xf>
    <xf numFmtId="3" fontId="31" fillId="10" borderId="68" xfId="0" applyNumberFormat="1" applyFont="1" applyFill="1" applyBorder="1" applyAlignment="1" applyProtection="1">
      <alignment horizontal="center"/>
    </xf>
    <xf numFmtId="3" fontId="31" fillId="10" borderId="118" xfId="0" applyNumberFormat="1" applyFont="1" applyFill="1" applyBorder="1" applyAlignment="1" applyProtection="1">
      <alignment horizontal="center" wrapText="1"/>
    </xf>
    <xf numFmtId="0" fontId="31" fillId="49" borderId="78" xfId="0" applyFont="1" applyFill="1" applyBorder="1" applyAlignment="1" applyProtection="1">
      <alignment horizontal="center"/>
      <protection locked="0"/>
    </xf>
    <xf numFmtId="0" fontId="31" fillId="49" borderId="95" xfId="0" applyFont="1" applyFill="1" applyBorder="1" applyAlignment="1" applyProtection="1">
      <alignment horizontal="center" wrapText="1"/>
      <protection locked="0"/>
    </xf>
    <xf numFmtId="0" fontId="31" fillId="49" borderId="79" xfId="0" applyFont="1" applyFill="1" applyBorder="1" applyAlignment="1" applyProtection="1">
      <alignment horizontal="center"/>
      <protection locked="0"/>
    </xf>
    <xf numFmtId="0" fontId="31" fillId="49" borderId="66" xfId="0" applyFont="1" applyFill="1" applyBorder="1" applyAlignment="1" applyProtection="1">
      <alignment horizontal="center" wrapText="1"/>
      <protection locked="0"/>
    </xf>
    <xf numFmtId="0" fontId="31" fillId="49" borderId="70" xfId="0" applyFont="1" applyFill="1" applyBorder="1" applyAlignment="1" applyProtection="1">
      <alignment horizontal="center" vertical="center"/>
      <protection locked="0"/>
    </xf>
    <xf numFmtId="0" fontId="31" fillId="49" borderId="95" xfId="0" applyFont="1" applyFill="1" applyBorder="1" applyAlignment="1" applyProtection="1">
      <alignment horizontal="center" vertical="center"/>
      <protection locked="0"/>
    </xf>
    <xf numFmtId="3" fontId="31" fillId="49" borderId="67" xfId="0" applyNumberFormat="1" applyFont="1" applyFill="1" applyBorder="1" applyAlignment="1" applyProtection="1">
      <alignment horizontal="center"/>
      <protection locked="0"/>
    </xf>
    <xf numFmtId="0" fontId="31" fillId="49" borderId="95" xfId="0" applyFont="1" applyFill="1" applyBorder="1" applyAlignment="1" applyProtection="1">
      <alignment horizontal="center"/>
      <protection locked="0"/>
    </xf>
    <xf numFmtId="0" fontId="31" fillId="4" borderId="0" xfId="0" applyFont="1" applyFill="1" applyBorder="1" applyAlignment="1" applyProtection="1">
      <alignment horizontal="left" vertical="top"/>
    </xf>
    <xf numFmtId="0" fontId="31" fillId="4" borderId="31" xfId="0" applyFont="1" applyFill="1" applyBorder="1" applyProtection="1"/>
    <xf numFmtId="0" fontId="31" fillId="4" borderId="32" xfId="0" applyFont="1" applyFill="1" applyBorder="1" applyProtection="1"/>
    <xf numFmtId="0" fontId="31" fillId="4" borderId="37" xfId="0" applyFont="1" applyFill="1" applyBorder="1" applyProtection="1"/>
    <xf numFmtId="0" fontId="31" fillId="4" borderId="0" xfId="0" applyFont="1" applyFill="1" applyBorder="1" applyAlignment="1" applyProtection="1">
      <alignment vertical="top" wrapText="1"/>
    </xf>
    <xf numFmtId="0" fontId="51" fillId="4" borderId="0" xfId="0" applyFont="1" applyFill="1" applyAlignment="1" applyProtection="1">
      <alignment horizontal="left" vertical="top" wrapText="1"/>
    </xf>
    <xf numFmtId="0" fontId="31" fillId="0" borderId="0" xfId="0" applyFont="1" applyFill="1" applyBorder="1" applyAlignment="1" applyProtection="1">
      <alignment horizontal="center"/>
    </xf>
    <xf numFmtId="0" fontId="37" fillId="2" borderId="37" xfId="0" applyFont="1" applyFill="1" applyBorder="1" applyAlignment="1" applyProtection="1">
      <alignment horizontal="center" vertical="center"/>
    </xf>
    <xf numFmtId="0" fontId="37" fillId="2" borderId="30" xfId="0" applyFont="1" applyFill="1" applyBorder="1" applyAlignment="1" applyProtection="1">
      <alignment horizontal="center" vertical="center"/>
    </xf>
    <xf numFmtId="0" fontId="37" fillId="2" borderId="88" xfId="0" applyFont="1" applyFill="1" applyBorder="1" applyAlignment="1" applyProtection="1">
      <alignment horizontal="center" vertical="center"/>
    </xf>
    <xf numFmtId="0" fontId="41" fillId="6" borderId="75" xfId="0" applyFont="1" applyFill="1" applyBorder="1" applyAlignment="1" applyProtection="1">
      <alignment wrapText="1"/>
    </xf>
    <xf numFmtId="0" fontId="31" fillId="6" borderId="53" xfId="0" applyFont="1" applyFill="1" applyBorder="1" applyAlignment="1" applyProtection="1">
      <alignment horizontal="center"/>
    </xf>
    <xf numFmtId="0" fontId="28" fillId="6" borderId="53" xfId="0" applyFont="1" applyFill="1" applyBorder="1" applyAlignment="1" applyProtection="1">
      <alignment horizontal="center"/>
    </xf>
    <xf numFmtId="0" fontId="31" fillId="6" borderId="83" xfId="0" applyFont="1" applyFill="1" applyBorder="1" applyAlignment="1" applyProtection="1">
      <alignment horizontal="center"/>
    </xf>
    <xf numFmtId="0" fontId="31" fillId="43" borderId="46" xfId="0" applyFont="1" applyFill="1" applyBorder="1" applyAlignment="1" applyProtection="1">
      <alignment wrapText="1"/>
    </xf>
    <xf numFmtId="3" fontId="31" fillId="7" borderId="41" xfId="0" applyNumberFormat="1" applyFont="1" applyFill="1" applyBorder="1" applyAlignment="1" applyProtection="1">
      <alignment horizontal="center"/>
    </xf>
    <xf numFmtId="3" fontId="31" fillId="7" borderId="78" xfId="0" applyNumberFormat="1" applyFont="1" applyFill="1" applyBorder="1" applyAlignment="1" applyProtection="1">
      <alignment horizontal="center"/>
    </xf>
    <xf numFmtId="3" fontId="31" fillId="7" borderId="47" xfId="0" applyNumberFormat="1" applyFont="1" applyFill="1" applyBorder="1" applyAlignment="1" applyProtection="1">
      <alignment horizontal="center"/>
    </xf>
    <xf numFmtId="3" fontId="31" fillId="7" borderId="35" xfId="0" applyNumberFormat="1" applyFont="1" applyFill="1" applyBorder="1" applyAlignment="1" applyProtection="1">
      <alignment horizontal="center"/>
    </xf>
    <xf numFmtId="0" fontId="31" fillId="43" borderId="75" xfId="0" applyFont="1" applyFill="1" applyBorder="1" applyAlignment="1" applyProtection="1">
      <alignment wrapText="1"/>
    </xf>
    <xf numFmtId="3" fontId="31" fillId="7" borderId="70" xfId="0" applyNumberFormat="1" applyFont="1" applyFill="1" applyBorder="1" applyAlignment="1" applyProtection="1">
      <alignment horizontal="center"/>
    </xf>
    <xf numFmtId="3" fontId="31" fillId="7" borderId="54" xfId="0" applyNumberFormat="1" applyFont="1" applyFill="1" applyBorder="1" applyAlignment="1" applyProtection="1">
      <alignment horizontal="center"/>
    </xf>
    <xf numFmtId="3" fontId="31" fillId="7" borderId="33" xfId="0" applyNumberFormat="1" applyFont="1" applyFill="1" applyBorder="1" applyAlignment="1" applyProtection="1">
      <alignment horizontal="center"/>
    </xf>
    <xf numFmtId="0" fontId="38" fillId="57" borderId="101" xfId="0" applyFont="1" applyFill="1" applyBorder="1" applyAlignment="1" applyProtection="1">
      <alignment horizontal="right" wrapText="1"/>
    </xf>
    <xf numFmtId="3" fontId="31" fillId="57" borderId="95" xfId="0" applyNumberFormat="1" applyFont="1" applyFill="1" applyBorder="1" applyAlignment="1" applyProtection="1">
      <alignment horizontal="center"/>
    </xf>
    <xf numFmtId="3" fontId="31" fillId="57" borderId="96" xfId="0" applyNumberFormat="1" applyFont="1" applyFill="1" applyBorder="1" applyAlignment="1" applyProtection="1">
      <alignment horizontal="center"/>
    </xf>
    <xf numFmtId="3" fontId="31" fillId="57" borderId="94" xfId="0" applyNumberFormat="1" applyFont="1" applyFill="1" applyBorder="1" applyAlignment="1" applyProtection="1">
      <alignment horizontal="center"/>
    </xf>
    <xf numFmtId="3" fontId="31" fillId="57" borderId="55" xfId="0" applyNumberFormat="1" applyFont="1" applyFill="1" applyBorder="1" applyAlignment="1" applyProtection="1">
      <alignment horizontal="center"/>
    </xf>
    <xf numFmtId="3" fontId="31" fillId="57" borderId="111" xfId="0" applyNumberFormat="1" applyFont="1" applyFill="1" applyBorder="1" applyAlignment="1" applyProtection="1">
      <alignment horizontal="center"/>
    </xf>
    <xf numFmtId="0" fontId="41" fillId="4" borderId="0" xfId="0" applyFont="1" applyFill="1" applyBorder="1" applyAlignment="1" applyProtection="1">
      <alignment horizontal="left"/>
    </xf>
    <xf numFmtId="3" fontId="41" fillId="4" borderId="0" xfId="0" applyNumberFormat="1" applyFont="1" applyFill="1" applyBorder="1" applyAlignment="1" applyProtection="1">
      <alignment horizontal="center"/>
    </xf>
    <xf numFmtId="0" fontId="83" fillId="4" borderId="0" xfId="0" applyFont="1" applyFill="1" applyBorder="1" applyAlignment="1" applyProtection="1">
      <alignment horizontal="left" vertical="top"/>
    </xf>
    <xf numFmtId="0" fontId="47" fillId="4" borderId="0" xfId="0" applyFont="1" applyFill="1" applyBorder="1" applyAlignment="1" applyProtection="1">
      <alignment wrapText="1"/>
    </xf>
    <xf numFmtId="0" fontId="47" fillId="4" borderId="0" xfId="0" applyFont="1" applyFill="1" applyBorder="1" applyAlignment="1" applyProtection="1">
      <alignment horizontal="left"/>
    </xf>
    <xf numFmtId="0" fontId="31" fillId="4" borderId="0" xfId="0" applyFont="1" applyFill="1" applyBorder="1" applyAlignment="1" applyProtection="1">
      <alignment horizontal="center" vertical="center"/>
    </xf>
    <xf numFmtId="3" fontId="31" fillId="7" borderId="36" xfId="0" applyNumberFormat="1" applyFont="1" applyFill="1" applyBorder="1" applyAlignment="1" applyProtection="1">
      <alignment horizontal="center"/>
    </xf>
    <xf numFmtId="3" fontId="31" fillId="7" borderId="34" xfId="0" applyNumberFormat="1" applyFont="1" applyFill="1" applyBorder="1" applyAlignment="1" applyProtection="1">
      <alignment horizontal="center"/>
    </xf>
    <xf numFmtId="3" fontId="31" fillId="7" borderId="83" xfId="0" applyNumberFormat="1" applyFont="1" applyFill="1" applyBorder="1" applyAlignment="1" applyProtection="1">
      <alignment horizontal="center"/>
    </xf>
    <xf numFmtId="0" fontId="31" fillId="43" borderId="16" xfId="0" applyFont="1" applyFill="1" applyBorder="1" applyAlignment="1" applyProtection="1">
      <alignment wrapText="1"/>
    </xf>
    <xf numFmtId="3" fontId="31" fillId="7" borderId="80" xfId="0" applyNumberFormat="1" applyFont="1" applyFill="1" applyBorder="1" applyAlignment="1" applyProtection="1">
      <alignment horizontal="center"/>
    </xf>
    <xf numFmtId="3" fontId="31" fillId="7" borderId="79" xfId="0" applyNumberFormat="1" applyFont="1" applyFill="1" applyBorder="1" applyAlignment="1" applyProtection="1">
      <alignment horizontal="center"/>
    </xf>
    <xf numFmtId="3" fontId="31" fillId="7" borderId="122" xfId="0" applyNumberFormat="1" applyFont="1" applyFill="1" applyBorder="1" applyAlignment="1" applyProtection="1">
      <alignment horizontal="center"/>
    </xf>
    <xf numFmtId="3" fontId="31" fillId="7" borderId="20" xfId="0" applyNumberFormat="1" applyFont="1" applyFill="1" applyBorder="1" applyAlignment="1" applyProtection="1">
      <alignment horizontal="center"/>
    </xf>
    <xf numFmtId="0" fontId="38" fillId="57" borderId="4" xfId="0" applyFont="1" applyFill="1" applyBorder="1" applyAlignment="1" applyProtection="1">
      <alignment horizontal="centerContinuous" wrapText="1"/>
    </xf>
    <xf numFmtId="3" fontId="31" fillId="57" borderId="15" xfId="0" applyNumberFormat="1" applyFont="1" applyFill="1" applyBorder="1" applyAlignment="1" applyProtection="1">
      <alignment horizontal="centerContinuous"/>
    </xf>
    <xf numFmtId="3" fontId="31" fillId="57" borderId="0" xfId="0" applyNumberFormat="1" applyFont="1" applyFill="1" applyBorder="1" applyAlignment="1" applyProtection="1">
      <alignment horizontal="centerContinuous"/>
    </xf>
    <xf numFmtId="3" fontId="31" fillId="57" borderId="0" xfId="0" applyNumberFormat="1" applyFont="1" applyFill="1" applyBorder="1" applyAlignment="1" applyProtection="1">
      <alignment horizontal="center"/>
    </xf>
    <xf numFmtId="3" fontId="31" fillId="57" borderId="3" xfId="0" applyNumberFormat="1" applyFont="1" applyFill="1" applyBorder="1" applyAlignment="1" applyProtection="1">
      <alignment horizontal="center"/>
    </xf>
    <xf numFmtId="0" fontId="38" fillId="57" borderId="46" xfId="0" applyFont="1" applyFill="1" applyBorder="1" applyAlignment="1" applyProtection="1">
      <alignment horizontal="right" wrapText="1"/>
    </xf>
    <xf numFmtId="3" fontId="31" fillId="57" borderId="66" xfId="0" applyNumberFormat="1" applyFont="1" applyFill="1" applyBorder="1" applyAlignment="1" applyProtection="1">
      <alignment horizontal="center"/>
    </xf>
    <xf numFmtId="3" fontId="31" fillId="57" borderId="69" xfId="0" applyNumberFormat="1" applyFont="1" applyFill="1" applyBorder="1" applyAlignment="1" applyProtection="1">
      <alignment horizontal="center"/>
    </xf>
    <xf numFmtId="0" fontId="31" fillId="4" borderId="0" xfId="0" applyFont="1" applyFill="1" applyBorder="1" applyAlignment="1" applyProtection="1">
      <alignment horizontal="left"/>
    </xf>
    <xf numFmtId="0" fontId="33" fillId="9" borderId="85" xfId="0" applyFont="1" applyFill="1" applyBorder="1" applyAlignment="1" applyProtection="1">
      <alignment horizontal="right" wrapText="1"/>
    </xf>
    <xf numFmtId="0" fontId="31" fillId="9" borderId="85" xfId="0" applyFont="1" applyFill="1" applyBorder="1" applyProtection="1"/>
    <xf numFmtId="0" fontId="31" fillId="10" borderId="70" xfId="0" applyFont="1" applyFill="1" applyBorder="1" applyAlignment="1" applyProtection="1">
      <alignment horizontal="center" vertical="center"/>
    </xf>
    <xf numFmtId="3" fontId="41" fillId="7" borderId="34" xfId="0" applyNumberFormat="1" applyFont="1" applyFill="1" applyBorder="1" applyAlignment="1" applyProtection="1">
      <alignment horizontal="center" vertical="center"/>
    </xf>
    <xf numFmtId="3" fontId="31" fillId="7" borderId="67" xfId="0" applyNumberFormat="1" applyFont="1" applyFill="1" applyBorder="1" applyAlignment="1" applyProtection="1">
      <alignment horizontal="center" vertical="center"/>
    </xf>
    <xf numFmtId="0" fontId="31" fillId="9" borderId="86" xfId="0" applyFont="1" applyFill="1" applyBorder="1" applyProtection="1"/>
    <xf numFmtId="0" fontId="31" fillId="10" borderId="87" xfId="0" applyFont="1" applyFill="1" applyBorder="1" applyAlignment="1" applyProtection="1">
      <alignment horizontal="center" vertical="center"/>
    </xf>
    <xf numFmtId="3" fontId="31" fillId="7" borderId="88" xfId="0" applyNumberFormat="1" applyFont="1" applyFill="1" applyBorder="1" applyAlignment="1" applyProtection="1">
      <alignment horizontal="center"/>
    </xf>
    <xf numFmtId="3" fontId="31" fillId="7" borderId="87" xfId="0" applyNumberFormat="1" applyFont="1" applyFill="1" applyBorder="1" applyAlignment="1" applyProtection="1">
      <alignment horizontal="center" vertical="center"/>
    </xf>
    <xf numFmtId="3" fontId="41" fillId="7" borderId="31" xfId="0" applyNumberFormat="1" applyFont="1" applyFill="1" applyBorder="1" applyAlignment="1" applyProtection="1">
      <alignment horizontal="center" vertical="center"/>
    </xf>
    <xf numFmtId="3" fontId="31" fillId="7" borderId="30" xfId="0" applyNumberFormat="1" applyFont="1" applyFill="1" applyBorder="1" applyAlignment="1" applyProtection="1">
      <alignment horizontal="center" vertical="center"/>
    </xf>
    <xf numFmtId="3" fontId="31" fillId="7" borderId="88" xfId="0" applyNumberFormat="1" applyFont="1" applyFill="1" applyBorder="1" applyAlignment="1" applyProtection="1">
      <alignment horizontal="center" vertical="center"/>
    </xf>
    <xf numFmtId="0" fontId="31" fillId="9" borderId="123" xfId="0" applyFont="1" applyFill="1" applyBorder="1" applyProtection="1"/>
    <xf numFmtId="3" fontId="31" fillId="7" borderId="96" xfId="0" applyNumberFormat="1" applyFont="1" applyFill="1" applyBorder="1" applyAlignment="1" applyProtection="1">
      <alignment horizontal="center"/>
    </xf>
    <xf numFmtId="3" fontId="41" fillId="7" borderId="93" xfId="0" applyNumberFormat="1" applyFont="1" applyFill="1" applyBorder="1" applyAlignment="1" applyProtection="1">
      <alignment horizontal="center" vertical="center"/>
    </xf>
    <xf numFmtId="3" fontId="31" fillId="7" borderId="96" xfId="0" applyNumberFormat="1" applyFont="1" applyFill="1" applyBorder="1" applyAlignment="1" applyProtection="1">
      <alignment horizontal="center" vertical="center"/>
    </xf>
    <xf numFmtId="3" fontId="31" fillId="4" borderId="0" xfId="0" applyNumberFormat="1" applyFont="1" applyFill="1" applyBorder="1" applyAlignment="1" applyProtection="1">
      <alignment horizontal="center" vertical="center"/>
    </xf>
    <xf numFmtId="0" fontId="31" fillId="9" borderId="75" xfId="0" applyFont="1" applyFill="1" applyBorder="1" applyProtection="1"/>
    <xf numFmtId="0" fontId="31" fillId="9" borderId="75" xfId="0" applyFont="1" applyFill="1" applyBorder="1" applyAlignment="1" applyProtection="1">
      <alignment horizontal="left" indent="2"/>
    </xf>
    <xf numFmtId="3" fontId="31" fillId="7" borderId="27" xfId="0" applyNumberFormat="1" applyFont="1" applyFill="1" applyBorder="1" applyAlignment="1" applyProtection="1">
      <alignment horizontal="center" vertical="center"/>
    </xf>
    <xf numFmtId="3" fontId="31" fillId="7" borderId="15" xfId="0" applyNumberFormat="1" applyFont="1" applyFill="1" applyBorder="1" applyAlignment="1" applyProtection="1">
      <alignment horizontal="center"/>
    </xf>
    <xf numFmtId="3" fontId="31" fillId="57" borderId="93" xfId="0" applyNumberFormat="1" applyFont="1" applyFill="1" applyBorder="1" applyAlignment="1" applyProtection="1">
      <alignment horizontal="center"/>
    </xf>
    <xf numFmtId="0" fontId="33" fillId="4" borderId="0" xfId="0" applyFont="1" applyFill="1" applyAlignment="1" applyProtection="1"/>
    <xf numFmtId="0" fontId="41" fillId="4" borderId="0" xfId="0" applyFont="1" applyFill="1" applyAlignment="1" applyProtection="1">
      <alignment horizontal="center" wrapText="1"/>
    </xf>
    <xf numFmtId="0" fontId="33" fillId="9" borderId="33" xfId="0" applyFont="1" applyFill="1" applyBorder="1" applyAlignment="1" applyProtection="1">
      <alignment wrapText="1"/>
    </xf>
    <xf numFmtId="0" fontId="57" fillId="4" borderId="0" xfId="0" applyFont="1" applyFill="1" applyAlignment="1" applyProtection="1">
      <alignment horizontal="left"/>
    </xf>
    <xf numFmtId="9" fontId="41" fillId="4" borderId="0" xfId="0" applyNumberFormat="1" applyFont="1" applyFill="1" applyBorder="1" applyAlignment="1" applyProtection="1">
      <alignment horizontal="center"/>
    </xf>
    <xf numFmtId="0" fontId="33" fillId="54" borderId="33" xfId="0" applyFont="1" applyFill="1" applyBorder="1" applyAlignment="1" applyProtection="1">
      <alignment wrapText="1"/>
    </xf>
    <xf numFmtId="3" fontId="41" fillId="54" borderId="33" xfId="0" applyNumberFormat="1" applyFont="1" applyFill="1" applyBorder="1" applyAlignment="1" applyProtection="1">
      <alignment horizontal="center"/>
    </xf>
    <xf numFmtId="0" fontId="57" fillId="54" borderId="0" xfId="0" applyFont="1" applyFill="1" applyAlignment="1" applyProtection="1">
      <alignment horizontal="left"/>
    </xf>
    <xf numFmtId="0" fontId="31" fillId="54" borderId="0" xfId="0" applyFont="1" applyFill="1" applyProtection="1"/>
    <xf numFmtId="0" fontId="31" fillId="54" borderId="0" xfId="0" applyFont="1" applyFill="1" applyAlignment="1" applyProtection="1">
      <alignment horizontal="center"/>
    </xf>
    <xf numFmtId="0" fontId="31" fillId="54" borderId="0" xfId="0" applyFont="1" applyFill="1" applyBorder="1" applyProtection="1"/>
    <xf numFmtId="9" fontId="41" fillId="54" borderId="0" xfId="0" applyNumberFormat="1" applyFont="1" applyFill="1" applyBorder="1" applyAlignment="1" applyProtection="1">
      <alignment horizontal="center"/>
    </xf>
    <xf numFmtId="9" fontId="41" fillId="10" borderId="33" xfId="0" applyNumberFormat="1" applyFont="1" applyFill="1" applyBorder="1" applyAlignment="1" applyProtection="1">
      <alignment horizontal="center"/>
    </xf>
    <xf numFmtId="0" fontId="57" fillId="0" borderId="0" xfId="0" applyFont="1" applyFill="1" applyAlignment="1" applyProtection="1">
      <alignment horizontal="left"/>
    </xf>
    <xf numFmtId="0" fontId="33" fillId="9" borderId="33" xfId="0" applyFont="1" applyFill="1" applyBorder="1" applyAlignment="1" applyProtection="1"/>
    <xf numFmtId="0" fontId="31" fillId="4" borderId="33" xfId="0" applyFont="1" applyFill="1" applyBorder="1" applyProtection="1"/>
    <xf numFmtId="0" fontId="31" fillId="5" borderId="33" xfId="0" applyFont="1" applyFill="1" applyBorder="1" applyProtection="1"/>
    <xf numFmtId="3" fontId="31" fillId="5" borderId="33" xfId="0" applyNumberFormat="1" applyFont="1" applyFill="1" applyBorder="1" applyProtection="1"/>
    <xf numFmtId="3" fontId="31" fillId="4" borderId="0" xfId="0" applyNumberFormat="1" applyFont="1" applyFill="1" applyProtection="1"/>
    <xf numFmtId="3" fontId="41" fillId="5" borderId="33" xfId="0" applyNumberFormat="1" applyFont="1" applyFill="1" applyBorder="1" applyAlignment="1" applyProtection="1">
      <alignment horizontal="center"/>
    </xf>
    <xf numFmtId="0" fontId="31" fillId="5" borderId="77" xfId="0" applyFont="1" applyFill="1" applyBorder="1" applyProtection="1"/>
    <xf numFmtId="3" fontId="31" fillId="5" borderId="77" xfId="0" applyNumberFormat="1" applyFont="1" applyFill="1" applyBorder="1" applyProtection="1"/>
    <xf numFmtId="3" fontId="41" fillId="5" borderId="77" xfId="0" applyNumberFormat="1" applyFont="1" applyFill="1" applyBorder="1" applyAlignment="1" applyProtection="1">
      <alignment horizontal="center"/>
    </xf>
    <xf numFmtId="0" fontId="31" fillId="47" borderId="35" xfId="0" applyFont="1" applyFill="1" applyBorder="1" applyProtection="1"/>
    <xf numFmtId="3" fontId="31" fillId="47" borderId="35" xfId="0" applyNumberFormat="1" applyFont="1" applyFill="1" applyBorder="1" applyProtection="1"/>
    <xf numFmtId="3" fontId="41" fillId="47" borderId="35" xfId="0" applyNumberFormat="1" applyFont="1" applyFill="1" applyBorder="1" applyAlignment="1" applyProtection="1">
      <alignment horizontal="center"/>
    </xf>
    <xf numFmtId="0" fontId="31" fillId="47" borderId="33" xfId="0" applyFont="1" applyFill="1" applyBorder="1" applyProtection="1"/>
    <xf numFmtId="3" fontId="31" fillId="47" borderId="33" xfId="0" applyNumberFormat="1" applyFont="1" applyFill="1" applyBorder="1" applyProtection="1"/>
    <xf numFmtId="3" fontId="41" fillId="47" borderId="33" xfId="0" applyNumberFormat="1" applyFont="1" applyFill="1" applyBorder="1" applyAlignment="1" applyProtection="1">
      <alignment horizontal="center"/>
    </xf>
    <xf numFmtId="0" fontId="41" fillId="4" borderId="0" xfId="0" applyFont="1" applyFill="1" applyAlignment="1" applyProtection="1">
      <alignment horizontal="center"/>
    </xf>
    <xf numFmtId="3" fontId="31" fillId="4" borderId="0" xfId="0" applyNumberFormat="1" applyFont="1" applyFill="1" applyAlignment="1" applyProtection="1">
      <alignment horizontal="right"/>
    </xf>
    <xf numFmtId="0" fontId="91" fillId="4" borderId="0" xfId="0" applyFont="1" applyFill="1" applyProtection="1"/>
    <xf numFmtId="0" fontId="31" fillId="4" borderId="33" xfId="0" applyFont="1" applyFill="1" applyBorder="1" applyAlignment="1" applyProtection="1">
      <alignment wrapText="1"/>
    </xf>
    <xf numFmtId="0" fontId="31" fillId="4" borderId="0" xfId="0" applyFont="1" applyFill="1" applyAlignment="1" applyProtection="1">
      <alignment horizontal="right"/>
    </xf>
    <xf numFmtId="3" fontId="31" fillId="4" borderId="33" xfId="0" applyNumberFormat="1" applyFont="1" applyFill="1" applyBorder="1" applyProtection="1"/>
    <xf numFmtId="0" fontId="31" fillId="50" borderId="33" xfId="0" applyFont="1" applyFill="1" applyBorder="1" applyProtection="1"/>
    <xf numFmtId="3" fontId="41" fillId="50" borderId="33" xfId="0" applyNumberFormat="1" applyFont="1" applyFill="1" applyBorder="1" applyAlignment="1" applyProtection="1">
      <alignment horizontal="center"/>
    </xf>
    <xf numFmtId="3" fontId="0" fillId="4" borderId="33" xfId="0" applyNumberFormat="1" applyFill="1" applyBorder="1" applyProtection="1"/>
    <xf numFmtId="0" fontId="17" fillId="3" borderId="33" xfId="0" applyFont="1" applyFill="1" applyBorder="1" applyAlignment="1" applyProtection="1">
      <alignment wrapText="1"/>
    </xf>
    <xf numFmtId="3" fontId="31" fillId="47" borderId="33" xfId="0" applyNumberFormat="1" applyFont="1" applyFill="1" applyBorder="1" applyAlignment="1" applyProtection="1">
      <alignment horizontal="center"/>
    </xf>
    <xf numFmtId="0" fontId="41" fillId="6" borderId="33" xfId="0" applyFont="1" applyFill="1" applyBorder="1" applyAlignment="1" applyProtection="1">
      <alignment horizontal="right" wrapText="1"/>
    </xf>
    <xf numFmtId="3" fontId="41" fillId="6" borderId="33" xfId="0" applyNumberFormat="1" applyFont="1" applyFill="1" applyBorder="1" applyAlignment="1" applyProtection="1">
      <alignment horizontal="center" wrapText="1"/>
    </xf>
    <xf numFmtId="0" fontId="37" fillId="2" borderId="33" xfId="0" applyFont="1" applyFill="1" applyBorder="1" applyAlignment="1" applyProtection="1">
      <alignment wrapText="1"/>
    </xf>
    <xf numFmtId="3" fontId="37" fillId="2" borderId="33" xfId="0" applyNumberFormat="1" applyFont="1" applyFill="1" applyBorder="1" applyAlignment="1" applyProtection="1">
      <alignment horizontal="center" wrapText="1"/>
    </xf>
    <xf numFmtId="3" fontId="41" fillId="47" borderId="33" xfId="0" applyNumberFormat="1" applyFont="1" applyFill="1" applyBorder="1" applyAlignment="1" applyProtection="1">
      <alignment horizontal="center" wrapText="1"/>
    </xf>
    <xf numFmtId="0" fontId="37" fillId="46" borderId="33" xfId="0" applyFont="1" applyFill="1" applyBorder="1" applyAlignment="1" applyProtection="1">
      <alignment horizontal="left"/>
    </xf>
    <xf numFmtId="0" fontId="42" fillId="6" borderId="0" xfId="0" applyFont="1" applyFill="1" applyAlignment="1" applyProtection="1">
      <alignment horizontal="center"/>
    </xf>
    <xf numFmtId="0" fontId="0" fillId="0" borderId="33" xfId="0" applyBorder="1" applyAlignment="1">
      <alignment wrapText="1"/>
    </xf>
    <xf numFmtId="0" fontId="49" fillId="0" borderId="0" xfId="0" applyFont="1" applyBorder="1"/>
    <xf numFmtId="0" fontId="49" fillId="0" borderId="3" xfId="0" applyFont="1" applyBorder="1"/>
    <xf numFmtId="0" fontId="49" fillId="0" borderId="2" xfId="0" applyFont="1" applyBorder="1"/>
    <xf numFmtId="0" fontId="31" fillId="0" borderId="2" xfId="0" applyFont="1" applyBorder="1"/>
    <xf numFmtId="0" fontId="31" fillId="0" borderId="3" xfId="0" applyFont="1" applyBorder="1"/>
    <xf numFmtId="0" fontId="31" fillId="0" borderId="2" xfId="0" applyFont="1" applyBorder="1" applyAlignment="1">
      <alignment horizontal="right" vertical="center"/>
    </xf>
    <xf numFmtId="3" fontId="31" fillId="0" borderId="0" xfId="0" applyNumberFormat="1" applyFont="1" applyBorder="1" applyAlignment="1">
      <alignment horizontal="right"/>
    </xf>
    <xf numFmtId="3" fontId="41" fillId="0" borderId="0" xfId="0" applyNumberFormat="1" applyFont="1" applyBorder="1" applyAlignment="1">
      <alignment horizontal="right"/>
    </xf>
    <xf numFmtId="0" fontId="41" fillId="0" borderId="0" xfId="0" applyFont="1" applyBorder="1"/>
    <xf numFmtId="0" fontId="31" fillId="0" borderId="0" xfId="0" applyFont="1" applyBorder="1" applyAlignment="1">
      <alignment horizontal="right"/>
    </xf>
    <xf numFmtId="0" fontId="31" fillId="0" borderId="2" xfId="0" applyFont="1" applyBorder="1" applyAlignment="1">
      <alignment horizontal="right" vertical="top"/>
    </xf>
    <xf numFmtId="3" fontId="41" fillId="0" borderId="0" xfId="0" applyNumberFormat="1" applyFont="1" applyBorder="1" applyAlignment="1">
      <alignment horizontal="right" vertical="top"/>
    </xf>
    <xf numFmtId="0" fontId="31" fillId="0" borderId="2" xfId="0" applyFont="1" applyBorder="1" applyAlignment="1">
      <alignment horizontal="left" vertical="center"/>
    </xf>
    <xf numFmtId="3" fontId="31" fillId="0" borderId="0" xfId="0" applyNumberFormat="1" applyFont="1" applyBorder="1"/>
    <xf numFmtId="9" fontId="31" fillId="0" borderId="0" xfId="2" applyFont="1" applyBorder="1"/>
    <xf numFmtId="0" fontId="41" fillId="0" borderId="2" xfId="0" applyFont="1" applyBorder="1"/>
    <xf numFmtId="2" fontId="127" fillId="0" borderId="0" xfId="331" applyNumberFormat="1" applyBorder="1" applyAlignment="1">
      <alignment horizontal="center"/>
    </xf>
    <xf numFmtId="0" fontId="127" fillId="0" borderId="0" xfId="331" applyBorder="1" applyAlignment="1">
      <alignment horizontal="center"/>
    </xf>
    <xf numFmtId="0" fontId="127" fillId="0" borderId="33" xfId="331" applyBorder="1" applyAlignment="1">
      <alignment horizontal="center"/>
    </xf>
    <xf numFmtId="0" fontId="127" fillId="0" borderId="33" xfId="331" applyBorder="1" applyAlignment="1">
      <alignment horizontal="right"/>
    </xf>
    <xf numFmtId="3" fontId="127" fillId="0" borderId="33" xfId="331" applyNumberFormat="1" applyBorder="1" applyAlignment="1">
      <alignment horizontal="center"/>
    </xf>
    <xf numFmtId="1" fontId="127" fillId="0" borderId="0" xfId="331" applyNumberFormat="1" applyBorder="1" applyAlignment="1">
      <alignment horizontal="center"/>
    </xf>
    <xf numFmtId="3" fontId="127" fillId="0" borderId="0" xfId="331" applyNumberFormat="1" applyBorder="1" applyAlignment="1">
      <alignment horizontal="center"/>
    </xf>
    <xf numFmtId="3" fontId="127" fillId="0" borderId="33" xfId="331" applyNumberFormat="1" applyBorder="1" applyAlignment="1">
      <alignment horizontal="right"/>
    </xf>
    <xf numFmtId="166" fontId="127" fillId="0" borderId="33" xfId="12" applyNumberFormat="1" applyFont="1" applyBorder="1" applyAlignment="1">
      <alignment horizontal="center"/>
    </xf>
    <xf numFmtId="9" fontId="31" fillId="10" borderId="55" xfId="2" applyFont="1" applyFill="1" applyBorder="1" applyAlignment="1" applyProtection="1">
      <alignment horizontal="center"/>
    </xf>
    <xf numFmtId="9" fontId="41" fillId="10" borderId="21" xfId="0" applyNumberFormat="1" applyFont="1" applyFill="1" applyBorder="1" applyAlignment="1" applyProtection="1">
      <alignment horizontal="center"/>
    </xf>
    <xf numFmtId="3" fontId="31" fillId="10" borderId="21" xfId="0" applyNumberFormat="1" applyFont="1" applyFill="1" applyBorder="1" applyAlignment="1" applyProtection="1">
      <alignment horizontal="center" wrapText="1"/>
    </xf>
    <xf numFmtId="4" fontId="41" fillId="10" borderId="21" xfId="0" applyNumberFormat="1" applyFont="1" applyFill="1" applyBorder="1" applyAlignment="1" applyProtection="1">
      <alignment horizontal="center"/>
    </xf>
    <xf numFmtId="4" fontId="41" fillId="9" borderId="49" xfId="0" applyNumberFormat="1" applyFont="1" applyFill="1" applyBorder="1" applyAlignment="1" applyProtection="1">
      <alignment horizontal="center" wrapText="1"/>
    </xf>
    <xf numFmtId="3" fontId="41" fillId="10" borderId="21" xfId="0" applyNumberFormat="1" applyFont="1" applyFill="1" applyBorder="1" applyAlignment="1" applyProtection="1">
      <alignment horizontal="center" wrapText="1"/>
    </xf>
    <xf numFmtId="0" fontId="31" fillId="0" borderId="0" xfId="0" applyFont="1" applyFill="1" applyBorder="1"/>
    <xf numFmtId="0" fontId="0" fillId="0" borderId="0" xfId="0"/>
    <xf numFmtId="9" fontId="31" fillId="0" borderId="0" xfId="0" applyNumberFormat="1" applyFont="1" applyBorder="1"/>
    <xf numFmtId="9" fontId="31" fillId="0" borderId="0" xfId="0" applyNumberFormat="1" applyFont="1" applyFill="1" applyBorder="1"/>
    <xf numFmtId="14" fontId="0" fillId="0" borderId="0" xfId="0" applyNumberFormat="1" applyFont="1" applyFill="1" applyAlignment="1">
      <alignment horizontal="left"/>
    </xf>
    <xf numFmtId="0" fontId="0" fillId="0" borderId="33" xfId="0" quotePrefix="1" applyBorder="1" applyAlignment="1">
      <alignment wrapText="1"/>
    </xf>
    <xf numFmtId="0" fontId="0" fillId="0" borderId="33" xfId="0" applyBorder="1" applyAlignment="1">
      <alignment horizontal="center" vertical="center"/>
    </xf>
    <xf numFmtId="14" fontId="0" fillId="0" borderId="33" xfId="0" applyNumberFormat="1" applyBorder="1" applyAlignment="1">
      <alignment horizontal="center" vertical="center"/>
    </xf>
    <xf numFmtId="0" fontId="47" fillId="0" borderId="0" xfId="0" applyFont="1" applyFill="1" applyBorder="1" applyAlignment="1">
      <alignment horizontal="left" vertical="top"/>
    </xf>
    <xf numFmtId="165" fontId="0" fillId="0" borderId="33" xfId="0" applyNumberFormat="1" applyBorder="1" applyAlignment="1">
      <alignment horizontal="center" vertical="center"/>
    </xf>
    <xf numFmtId="0" fontId="2" fillId="49" borderId="40" xfId="0" applyFont="1" applyFill="1" applyBorder="1" applyProtection="1">
      <protection locked="0"/>
    </xf>
    <xf numFmtId="0" fontId="56" fillId="9" borderId="0" xfId="0" applyFont="1" applyFill="1" applyProtection="1"/>
    <xf numFmtId="0" fontId="31" fillId="9" borderId="0" xfId="0" applyFont="1" applyFill="1" applyProtection="1"/>
    <xf numFmtId="0" fontId="48" fillId="9" borderId="0" xfId="0" applyFont="1" applyFill="1" applyProtection="1"/>
    <xf numFmtId="0" fontId="48" fillId="9" borderId="0" xfId="0" applyFont="1" applyFill="1" applyAlignment="1" applyProtection="1">
      <alignment horizontal="left" wrapText="1"/>
    </xf>
    <xf numFmtId="0" fontId="48" fillId="9" borderId="0" xfId="0" applyFont="1" applyFill="1" applyAlignment="1" applyProtection="1">
      <alignment horizontal="left" vertical="top" wrapText="1"/>
    </xf>
    <xf numFmtId="0" fontId="56" fillId="9" borderId="0" xfId="0" applyFont="1" applyFill="1" applyAlignment="1" applyProtection="1">
      <alignment horizontal="left" vertical="top"/>
    </xf>
    <xf numFmtId="0" fontId="48" fillId="9" borderId="0" xfId="0" applyFont="1" applyFill="1" applyAlignment="1" applyProtection="1">
      <alignment horizontal="left"/>
    </xf>
    <xf numFmtId="0" fontId="56" fillId="9" borderId="0" xfId="0" applyFont="1" applyFill="1" applyAlignment="1" applyProtection="1">
      <alignment horizontal="left"/>
    </xf>
    <xf numFmtId="0" fontId="48" fillId="9" borderId="70" xfId="0" applyFont="1" applyFill="1" applyBorder="1" applyAlignment="1" applyProtection="1">
      <alignment horizontal="left"/>
    </xf>
    <xf numFmtId="0" fontId="48" fillId="9" borderId="34" xfId="0" applyFont="1" applyFill="1" applyBorder="1" applyProtection="1"/>
    <xf numFmtId="0" fontId="48" fillId="9" borderId="34" xfId="0" applyFont="1" applyFill="1" applyBorder="1" applyAlignment="1" applyProtection="1">
      <alignment wrapText="1"/>
    </xf>
    <xf numFmtId="0" fontId="48" fillId="9" borderId="71" xfId="0" applyFont="1" applyFill="1" applyBorder="1" applyAlignment="1" applyProtection="1">
      <alignment horizontal="left"/>
    </xf>
    <xf numFmtId="0" fontId="48" fillId="9" borderId="81" xfId="0" applyFont="1" applyFill="1" applyBorder="1" applyProtection="1"/>
    <xf numFmtId="0" fontId="48" fillId="9" borderId="0" xfId="0" applyFont="1" applyFill="1" applyBorder="1" applyAlignment="1" applyProtection="1">
      <alignment horizontal="left"/>
    </xf>
    <xf numFmtId="0" fontId="48" fillId="9" borderId="0" xfId="0" applyFont="1" applyFill="1" applyBorder="1" applyProtection="1"/>
    <xf numFmtId="0" fontId="48" fillId="9" borderId="0" xfId="0" applyFont="1" applyFill="1" applyBorder="1" applyAlignment="1" applyProtection="1">
      <alignment horizontal="left" wrapText="1"/>
    </xf>
    <xf numFmtId="0" fontId="41" fillId="9" borderId="0" xfId="0" applyFont="1" applyFill="1" applyProtection="1"/>
    <xf numFmtId="0" fontId="31" fillId="9" borderId="0" xfId="0" applyFont="1" applyFill="1" applyBorder="1" applyAlignment="1" applyProtection="1">
      <alignment horizontal="center" wrapText="1"/>
    </xf>
    <xf numFmtId="0" fontId="31" fillId="9" borderId="33" xfId="0" applyFont="1" applyFill="1" applyBorder="1" applyAlignment="1" applyProtection="1">
      <alignment horizontal="right"/>
    </xf>
    <xf numFmtId="0" fontId="31" fillId="49" borderId="33" xfId="0" applyFont="1" applyFill="1" applyBorder="1" applyAlignment="1" applyProtection="1">
      <alignment horizontal="left" wrapText="1"/>
    </xf>
    <xf numFmtId="0" fontId="31" fillId="7" borderId="33" xfId="0" applyFont="1" applyFill="1" applyBorder="1" applyAlignment="1" applyProtection="1">
      <alignment horizontal="left"/>
    </xf>
    <xf numFmtId="0" fontId="31" fillId="9" borderId="33" xfId="0" applyFont="1" applyFill="1" applyBorder="1" applyAlignment="1" applyProtection="1">
      <alignment horizontal="left"/>
    </xf>
    <xf numFmtId="0" fontId="31" fillId="44" borderId="33" xfId="0" applyFont="1" applyFill="1" applyBorder="1" applyAlignment="1" applyProtection="1">
      <alignment horizontal="left" wrapText="1"/>
    </xf>
    <xf numFmtId="0" fontId="31" fillId="10" borderId="33" xfId="0" applyFont="1" applyFill="1" applyBorder="1" applyAlignment="1" applyProtection="1">
      <alignment horizontal="left"/>
    </xf>
    <xf numFmtId="0" fontId="29" fillId="3" borderId="0" xfId="0" applyFont="1" applyFill="1" applyAlignment="1" applyProtection="1">
      <alignment horizontal="left"/>
    </xf>
    <xf numFmtId="0" fontId="31" fillId="9" borderId="24" xfId="0" applyFont="1" applyFill="1" applyBorder="1" applyAlignment="1" applyProtection="1">
      <alignment horizontal="center"/>
    </xf>
    <xf numFmtId="0" fontId="81" fillId="9" borderId="87" xfId="7" applyFont="1" applyFill="1" applyBorder="1" applyProtection="1"/>
    <xf numFmtId="9" fontId="0" fillId="9" borderId="88" xfId="0" applyNumberFormat="1" applyFont="1" applyFill="1" applyBorder="1" applyAlignment="1" applyProtection="1">
      <alignment horizontal="center"/>
    </xf>
    <xf numFmtId="0" fontId="38" fillId="4" borderId="0" xfId="0" applyFont="1" applyFill="1" applyBorder="1" applyAlignment="1" applyProtection="1">
      <alignment wrapText="1"/>
    </xf>
    <xf numFmtId="0" fontId="88" fillId="0" borderId="0" xfId="0" applyFont="1" applyAlignment="1">
      <alignment horizontal="left" wrapText="1"/>
    </xf>
    <xf numFmtId="0" fontId="33" fillId="4" borderId="0" xfId="0" applyFont="1" applyFill="1" applyAlignment="1" applyProtection="1">
      <alignment horizontal="left"/>
    </xf>
    <xf numFmtId="0" fontId="35" fillId="4" borderId="0" xfId="0" applyFont="1" applyFill="1" applyAlignment="1" applyProtection="1">
      <alignment horizontal="left"/>
    </xf>
    <xf numFmtId="0" fontId="31" fillId="9" borderId="67" xfId="0" applyFont="1" applyFill="1" applyBorder="1" applyAlignment="1" applyProtection="1">
      <alignment horizontal="center" wrapText="1"/>
    </xf>
    <xf numFmtId="0" fontId="31" fillId="9" borderId="39" xfId="0" applyFont="1" applyFill="1" applyBorder="1" applyAlignment="1" applyProtection="1">
      <alignment horizontal="center"/>
    </xf>
    <xf numFmtId="0" fontId="27" fillId="8" borderId="0" xfId="0" applyFont="1" applyFill="1" applyAlignment="1" applyProtection="1">
      <alignment horizontal="left"/>
    </xf>
    <xf numFmtId="0" fontId="28" fillId="8" borderId="0" xfId="0" applyFont="1" applyFill="1" applyAlignment="1" applyProtection="1">
      <alignment horizontal="center"/>
    </xf>
    <xf numFmtId="0" fontId="28" fillId="8" borderId="0" xfId="0" applyFont="1" applyFill="1" applyProtection="1"/>
    <xf numFmtId="0" fontId="30" fillId="3" borderId="0" xfId="0" applyFont="1" applyFill="1" applyAlignment="1" applyProtection="1">
      <alignment horizontal="center"/>
    </xf>
    <xf numFmtId="0" fontId="30" fillId="3" borderId="0" xfId="0" applyFont="1" applyFill="1" applyProtection="1"/>
    <xf numFmtId="0" fontId="31" fillId="0" borderId="0" xfId="0" applyFont="1" applyProtection="1"/>
    <xf numFmtId="0" fontId="31" fillId="56" borderId="0" xfId="0" applyFont="1" applyFill="1" applyProtection="1"/>
    <xf numFmtId="0" fontId="55" fillId="50" borderId="0" xfId="0" applyFont="1" applyFill="1" applyBorder="1" applyAlignment="1" applyProtection="1"/>
    <xf numFmtId="0" fontId="31" fillId="50" borderId="0" xfId="0" applyFont="1" applyFill="1" applyProtection="1"/>
    <xf numFmtId="0" fontId="31" fillId="0" borderId="0" xfId="0" applyFont="1" applyFill="1" applyProtection="1"/>
    <xf numFmtId="0" fontId="31" fillId="9" borderId="33" xfId="0" applyFont="1" applyFill="1" applyBorder="1" applyProtection="1"/>
    <xf numFmtId="3" fontId="31" fillId="45" borderId="33" xfId="0" applyNumberFormat="1" applyFont="1" applyFill="1" applyBorder="1" applyProtection="1"/>
    <xf numFmtId="0" fontId="41" fillId="0" borderId="0" xfId="0" applyFont="1" applyAlignment="1" applyProtection="1">
      <alignment horizontal="right"/>
    </xf>
    <xf numFmtId="4" fontId="31" fillId="45" borderId="33" xfId="0" applyNumberFormat="1" applyFont="1" applyFill="1" applyBorder="1" applyProtection="1"/>
    <xf numFmtId="2" fontId="31" fillId="10" borderId="33" xfId="0" applyNumberFormat="1" applyFont="1" applyFill="1" applyBorder="1" applyProtection="1"/>
    <xf numFmtId="168" fontId="31" fillId="10" borderId="33" xfId="8" applyNumberFormat="1" applyFont="1" applyFill="1" applyBorder="1" applyProtection="1"/>
    <xf numFmtId="1" fontId="31" fillId="10" borderId="33" xfId="0" applyNumberFormat="1" applyFont="1" applyFill="1" applyBorder="1" applyProtection="1"/>
    <xf numFmtId="0" fontId="37" fillId="2" borderId="35" xfId="0" applyFont="1" applyFill="1" applyBorder="1" applyAlignment="1" applyProtection="1">
      <alignment horizontal="center" vertical="center" wrapText="1"/>
    </xf>
    <xf numFmtId="0" fontId="31" fillId="9" borderId="18" xfId="0" applyFont="1" applyFill="1" applyBorder="1" applyProtection="1"/>
    <xf numFmtId="2" fontId="31" fillId="9" borderId="18" xfId="0" applyNumberFormat="1" applyFont="1" applyFill="1" applyBorder="1" applyAlignment="1" applyProtection="1">
      <alignment horizontal="center"/>
    </xf>
    <xf numFmtId="4" fontId="31" fillId="10" borderId="18" xfId="0" applyNumberFormat="1" applyFont="1" applyFill="1" applyBorder="1" applyAlignment="1" applyProtection="1">
      <alignment horizontal="center"/>
    </xf>
    <xf numFmtId="9" fontId="31" fillId="10" borderId="18" xfId="2" applyFont="1" applyFill="1" applyBorder="1" applyAlignment="1" applyProtection="1">
      <alignment horizontal="center"/>
    </xf>
    <xf numFmtId="0" fontId="31" fillId="9" borderId="15" xfId="0" applyFont="1" applyFill="1" applyBorder="1" applyProtection="1"/>
    <xf numFmtId="2" fontId="31" fillId="9" borderId="15" xfId="0" applyNumberFormat="1" applyFont="1" applyFill="1" applyBorder="1" applyAlignment="1" applyProtection="1">
      <alignment horizontal="center"/>
    </xf>
    <xf numFmtId="0" fontId="31" fillId="9" borderId="48" xfId="0" applyFont="1" applyFill="1" applyBorder="1" applyProtection="1"/>
    <xf numFmtId="2" fontId="31" fillId="9" borderId="48" xfId="0" applyNumberFormat="1" applyFont="1" applyFill="1" applyBorder="1" applyAlignment="1" applyProtection="1">
      <alignment horizontal="center"/>
    </xf>
    <xf numFmtId="4" fontId="31" fillId="10" borderId="48" xfId="0" applyNumberFormat="1" applyFont="1" applyFill="1" applyBorder="1" applyAlignment="1" applyProtection="1">
      <alignment horizontal="center"/>
    </xf>
    <xf numFmtId="0" fontId="41" fillId="9" borderId="35" xfId="0" applyFont="1" applyFill="1" applyBorder="1" applyProtection="1"/>
    <xf numFmtId="2" fontId="31" fillId="9" borderId="35" xfId="0" applyNumberFormat="1" applyFont="1" applyFill="1" applyBorder="1" applyAlignment="1" applyProtection="1">
      <alignment horizontal="center"/>
    </xf>
    <xf numFmtId="4" fontId="31" fillId="10" borderId="35" xfId="0" applyNumberFormat="1" applyFont="1" applyFill="1" applyBorder="1" applyAlignment="1" applyProtection="1">
      <alignment horizontal="center"/>
    </xf>
    <xf numFmtId="9" fontId="31" fillId="10" borderId="35" xfId="2" applyFont="1" applyFill="1" applyBorder="1" applyAlignment="1" applyProtection="1">
      <alignment horizontal="center"/>
    </xf>
    <xf numFmtId="168" fontId="31" fillId="0" borderId="0" xfId="8" applyNumberFormat="1" applyFont="1" applyProtection="1"/>
    <xf numFmtId="43" fontId="31" fillId="0" borderId="0" xfId="8" applyFont="1" applyProtection="1"/>
    <xf numFmtId="4" fontId="31" fillId="0" borderId="0" xfId="0" applyNumberFormat="1" applyFont="1" applyProtection="1"/>
    <xf numFmtId="0" fontId="41" fillId="50" borderId="33" xfId="0" applyFont="1" applyFill="1" applyBorder="1" applyAlignment="1" applyProtection="1">
      <alignment horizontal="center" wrapText="1"/>
    </xf>
    <xf numFmtId="0" fontId="41" fillId="50" borderId="33" xfId="0" applyFont="1" applyFill="1" applyBorder="1" applyAlignment="1" applyProtection="1">
      <alignment wrapText="1"/>
    </xf>
    <xf numFmtId="0" fontId="41" fillId="47" borderId="33" xfId="0" applyFont="1" applyFill="1" applyBorder="1" applyAlignment="1" applyProtection="1">
      <alignment horizontal="center"/>
    </xf>
    <xf numFmtId="0" fontId="41" fillId="6" borderId="33" xfId="0" applyFont="1" applyFill="1" applyBorder="1" applyAlignment="1" applyProtection="1">
      <alignment horizontal="center"/>
    </xf>
    <xf numFmtId="0" fontId="41" fillId="0" borderId="33" xfId="0" applyFont="1" applyBorder="1" applyAlignment="1" applyProtection="1">
      <alignment wrapText="1"/>
    </xf>
    <xf numFmtId="3" fontId="41" fillId="0" borderId="33" xfId="0" applyNumberFormat="1" applyFont="1" applyBorder="1" applyAlignment="1" applyProtection="1">
      <alignment horizontal="center"/>
    </xf>
    <xf numFmtId="4" fontId="31" fillId="0" borderId="33" xfId="0" applyNumberFormat="1" applyFont="1" applyBorder="1" applyAlignment="1" applyProtection="1">
      <alignment horizontal="center"/>
    </xf>
    <xf numFmtId="3" fontId="31" fillId="0" borderId="33" xfId="0" applyNumberFormat="1" applyFont="1" applyBorder="1" applyAlignment="1" applyProtection="1">
      <alignment horizontal="center"/>
    </xf>
    <xf numFmtId="0" fontId="41" fillId="0" borderId="33" xfId="0" applyFont="1" applyBorder="1" applyAlignment="1" applyProtection="1">
      <alignment horizontal="right" wrapText="1"/>
    </xf>
    <xf numFmtId="3" fontId="41" fillId="0" borderId="0" xfId="0" applyNumberFormat="1" applyFont="1" applyBorder="1" applyAlignment="1" applyProtection="1">
      <alignment horizontal="center"/>
    </xf>
    <xf numFmtId="0" fontId="41" fillId="0" borderId="0" xfId="0" applyFont="1" applyBorder="1" applyAlignment="1" applyProtection="1">
      <alignment horizontal="right" wrapText="1"/>
    </xf>
    <xf numFmtId="0" fontId="41" fillId="51" borderId="33" xfId="0" applyFont="1" applyFill="1" applyBorder="1" applyAlignment="1" applyProtection="1">
      <alignment horizontal="left" wrapText="1"/>
    </xf>
    <xf numFmtId="0" fontId="41" fillId="0" borderId="33" xfId="0" applyFont="1" applyBorder="1" applyAlignment="1" applyProtection="1">
      <alignment horizontal="left" wrapText="1"/>
    </xf>
    <xf numFmtId="0" fontId="0" fillId="0" borderId="33" xfId="0" applyFill="1" applyBorder="1" applyAlignment="1">
      <alignment wrapText="1"/>
    </xf>
    <xf numFmtId="0" fontId="58" fillId="0" borderId="0" xfId="0" applyFont="1" applyFill="1" applyBorder="1" applyAlignment="1">
      <alignment horizontal="right"/>
    </xf>
    <xf numFmtId="0" fontId="18" fillId="0" borderId="0" xfId="0" applyFont="1" applyBorder="1" applyAlignment="1">
      <alignment horizontal="left" vertical="center"/>
    </xf>
    <xf numFmtId="3" fontId="16" fillId="0" borderId="0" xfId="0" applyNumberFormat="1" applyFont="1" applyBorder="1" applyAlignment="1">
      <alignment horizontal="left"/>
    </xf>
    <xf numFmtId="0" fontId="16" fillId="0" borderId="0" xfId="0" applyFont="1" applyBorder="1" applyAlignment="1">
      <alignment horizontal="left"/>
    </xf>
    <xf numFmtId="166" fontId="16" fillId="0" borderId="33" xfId="2" applyNumberFormat="1" applyFont="1" applyBorder="1" applyAlignment="1">
      <alignment horizontal="right"/>
    </xf>
    <xf numFmtId="3" fontId="0" fillId="0" borderId="33" xfId="0" applyNumberFormat="1" applyFill="1" applyBorder="1" applyAlignment="1">
      <alignment horizontal="left"/>
    </xf>
    <xf numFmtId="0" fontId="18" fillId="0" borderId="0" xfId="0" applyFont="1" applyFill="1" applyBorder="1"/>
    <xf numFmtId="9" fontId="0" fillId="0" borderId="33" xfId="2" applyFont="1" applyFill="1" applyBorder="1" applyAlignment="1">
      <alignment horizontal="left"/>
    </xf>
    <xf numFmtId="0" fontId="0" fillId="0" borderId="0" xfId="0" applyFont="1" applyFill="1" applyBorder="1"/>
    <xf numFmtId="3" fontId="0" fillId="0" borderId="0" xfId="0" applyNumberFormat="1" applyFill="1" applyBorder="1"/>
    <xf numFmtId="0" fontId="18" fillId="0" borderId="0" xfId="0" applyFont="1" applyFill="1" applyBorder="1" applyAlignment="1">
      <alignment horizontal="left"/>
    </xf>
    <xf numFmtId="9" fontId="0" fillId="0" borderId="33" xfId="2" applyFont="1" applyFill="1" applyBorder="1" applyAlignment="1">
      <alignment horizontal="left" wrapText="1"/>
    </xf>
    <xf numFmtId="0" fontId="93" fillId="0" borderId="0" xfId="0" applyFont="1" applyFill="1" applyBorder="1" applyAlignment="1">
      <alignment vertical="top"/>
    </xf>
    <xf numFmtId="0" fontId="93" fillId="0" borderId="0" xfId="0" applyFont="1" applyFill="1" applyBorder="1" applyAlignment="1">
      <alignment vertical="center"/>
    </xf>
    <xf numFmtId="0" fontId="41" fillId="4" borderId="0" xfId="5" applyFont="1" applyFill="1" applyBorder="1" applyAlignment="1" applyProtection="1">
      <alignment vertical="center" wrapText="1"/>
    </xf>
    <xf numFmtId="0" fontId="31" fillId="4" borderId="0" xfId="4" applyFont="1" applyFill="1" applyBorder="1" applyAlignment="1" applyProtection="1">
      <alignment horizontal="center" vertical="center" wrapText="1"/>
    </xf>
    <xf numFmtId="0" fontId="31" fillId="4" borderId="0" xfId="5" applyFont="1" applyFill="1" applyBorder="1" applyAlignment="1" applyProtection="1">
      <alignment vertical="center"/>
    </xf>
    <xf numFmtId="0" fontId="31" fillId="4" borderId="0" xfId="5" applyFont="1" applyFill="1" applyBorder="1" applyAlignment="1" applyProtection="1"/>
    <xf numFmtId="0" fontId="31" fillId="4" borderId="0" xfId="4" applyFont="1" applyFill="1" applyAlignment="1" applyProtection="1">
      <alignment horizontal="center"/>
    </xf>
    <xf numFmtId="0" fontId="31" fillId="4" borderId="0" xfId="4" applyFont="1" applyFill="1" applyAlignment="1" applyProtection="1"/>
    <xf numFmtId="0" fontId="31" fillId="4" borderId="0" xfId="4" applyFont="1" applyFill="1" applyAlignment="1" applyProtection="1">
      <alignment horizontal="center" wrapText="1"/>
    </xf>
    <xf numFmtId="0" fontId="31" fillId="4" borderId="0" xfId="4" applyFont="1" applyFill="1" applyAlignment="1" applyProtection="1">
      <alignment wrapText="1"/>
    </xf>
    <xf numFmtId="0" fontId="31" fillId="4" borderId="0" xfId="5" applyFont="1" applyFill="1" applyBorder="1" applyAlignment="1" applyProtection="1">
      <alignment vertical="center" wrapText="1"/>
    </xf>
    <xf numFmtId="0" fontId="46" fillId="0" borderId="0" xfId="0" applyFont="1" applyAlignment="1" applyProtection="1">
      <alignment vertical="center"/>
    </xf>
    <xf numFmtId="0" fontId="31" fillId="4" borderId="0" xfId="4" applyFont="1" applyFill="1" applyBorder="1" applyAlignment="1" applyProtection="1">
      <alignment vertical="center" wrapText="1"/>
    </xf>
    <xf numFmtId="0" fontId="31" fillId="4" borderId="0" xfId="0" applyFont="1" applyFill="1" applyAlignment="1" applyProtection="1">
      <alignment vertical="center"/>
    </xf>
    <xf numFmtId="0" fontId="47" fillId="4" borderId="0" xfId="4" applyFont="1" applyFill="1" applyAlignment="1" applyProtection="1">
      <alignment wrapText="1"/>
    </xf>
    <xf numFmtId="0" fontId="31" fillId="4" borderId="40" xfId="0" applyFont="1" applyFill="1" applyBorder="1" applyAlignment="1" applyProtection="1">
      <alignment horizontal="center" wrapText="1"/>
    </xf>
    <xf numFmtId="0" fontId="31" fillId="49" borderId="33" xfId="0" applyFont="1" applyFill="1" applyBorder="1" applyAlignment="1" applyProtection="1">
      <alignment horizontal="center"/>
    </xf>
    <xf numFmtId="0" fontId="31" fillId="4" borderId="0" xfId="0" applyFont="1" applyFill="1" applyAlignment="1" applyProtection="1">
      <alignment horizontal="left"/>
    </xf>
    <xf numFmtId="0" fontId="31" fillId="7" borderId="33" xfId="0" applyFont="1" applyFill="1" applyBorder="1" applyAlignment="1" applyProtection="1">
      <alignment horizontal="center"/>
    </xf>
    <xf numFmtId="0" fontId="31" fillId="9" borderId="33" xfId="0" applyFont="1" applyFill="1" applyBorder="1" applyAlignment="1" applyProtection="1">
      <alignment horizontal="center"/>
    </xf>
    <xf numFmtId="0" fontId="41" fillId="4" borderId="0" xfId="0" applyFont="1" applyFill="1" applyAlignment="1" applyProtection="1"/>
    <xf numFmtId="0" fontId="42" fillId="4" borderId="0" xfId="4" applyFont="1" applyFill="1" applyAlignment="1" applyProtection="1">
      <alignment horizontal="center" wrapText="1"/>
    </xf>
    <xf numFmtId="0" fontId="31" fillId="49" borderId="101" xfId="0" applyFont="1" applyFill="1" applyBorder="1" applyAlignment="1" applyProtection="1">
      <alignment horizontal="left"/>
      <protection locked="0"/>
    </xf>
    <xf numFmtId="0" fontId="31" fillId="49" borderId="99" xfId="0" applyFont="1" applyFill="1" applyBorder="1" applyAlignment="1" applyProtection="1">
      <alignment horizontal="left"/>
      <protection locked="0"/>
    </xf>
    <xf numFmtId="0" fontId="31" fillId="49" borderId="94" xfId="0" applyFont="1" applyFill="1" applyBorder="1" applyAlignment="1" applyProtection="1">
      <alignment horizontal="left"/>
      <protection locked="0"/>
    </xf>
    <xf numFmtId="0" fontId="31" fillId="49" borderId="75" xfId="0" applyFont="1" applyFill="1" applyBorder="1" applyAlignment="1" applyProtection="1">
      <alignment horizontal="left"/>
      <protection locked="0"/>
    </xf>
    <xf numFmtId="0" fontId="31" fillId="49" borderId="53" xfId="0" applyFont="1" applyFill="1" applyBorder="1" applyAlignment="1" applyProtection="1">
      <alignment horizontal="left"/>
      <protection locked="0"/>
    </xf>
    <xf numFmtId="0" fontId="31" fillId="49" borderId="54" xfId="0" applyFont="1" applyFill="1" applyBorder="1" applyAlignment="1" applyProtection="1">
      <alignment horizontal="left"/>
      <protection locked="0"/>
    </xf>
    <xf numFmtId="3" fontId="31" fillId="49" borderId="41" xfId="0" applyNumberFormat="1" applyFont="1" applyFill="1" applyBorder="1" applyAlignment="1" applyProtection="1">
      <alignment horizontal="center"/>
      <protection locked="0"/>
    </xf>
    <xf numFmtId="3" fontId="31" fillId="49" borderId="96" xfId="0" applyNumberFormat="1" applyFont="1" applyFill="1" applyBorder="1" applyAlignment="1" applyProtection="1">
      <alignment horizontal="center"/>
      <protection locked="0"/>
    </xf>
    <xf numFmtId="3" fontId="31" fillId="45" borderId="33" xfId="0" applyNumberFormat="1" applyFont="1" applyFill="1" applyBorder="1"/>
    <xf numFmtId="2" fontId="75" fillId="2" borderId="70" xfId="7" applyNumberFormat="1" applyFont="1" applyFill="1" applyBorder="1" applyAlignment="1">
      <alignment horizontal="center" wrapText="1"/>
    </xf>
    <xf numFmtId="2" fontId="31" fillId="10" borderId="37" xfId="0" applyNumberFormat="1" applyFont="1" applyFill="1" applyBorder="1" applyAlignment="1">
      <alignment horizontal="center"/>
    </xf>
    <xf numFmtId="2" fontId="31" fillId="10" borderId="7" xfId="0" applyNumberFormat="1" applyFont="1" applyFill="1" applyBorder="1" applyAlignment="1">
      <alignment horizontal="center"/>
    </xf>
    <xf numFmtId="2" fontId="31" fillId="10" borderId="13" xfId="0" applyNumberFormat="1" applyFont="1" applyFill="1" applyBorder="1" applyAlignment="1">
      <alignment horizontal="center"/>
    </xf>
    <xf numFmtId="0" fontId="31" fillId="9" borderId="33" xfId="0" applyFont="1" applyFill="1" applyBorder="1"/>
    <xf numFmtId="2" fontId="31" fillId="10" borderId="35" xfId="0" applyNumberFormat="1" applyFont="1" applyFill="1" applyBorder="1" applyAlignment="1" applyProtection="1">
      <alignment horizontal="center"/>
    </xf>
    <xf numFmtId="9" fontId="31" fillId="10" borderId="48" xfId="2" applyFont="1" applyFill="1" applyBorder="1" applyAlignment="1" applyProtection="1">
      <alignment horizontal="center"/>
    </xf>
    <xf numFmtId="2" fontId="31" fillId="9" borderId="34" xfId="0" applyNumberFormat="1" applyFont="1" applyFill="1" applyBorder="1" applyAlignment="1" applyProtection="1">
      <alignment horizontal="center"/>
    </xf>
    <xf numFmtId="3" fontId="31" fillId="7" borderId="75" xfId="0" applyNumberFormat="1" applyFont="1" applyFill="1" applyBorder="1" applyAlignment="1" applyProtection="1">
      <alignment horizontal="center" vertical="center"/>
    </xf>
    <xf numFmtId="3" fontId="42" fillId="5" borderId="87" xfId="0" applyNumberFormat="1" applyFont="1" applyFill="1" applyBorder="1" applyProtection="1"/>
    <xf numFmtId="3" fontId="42" fillId="5" borderId="30" xfId="0" applyNumberFormat="1" applyFont="1" applyFill="1" applyBorder="1" applyProtection="1"/>
    <xf numFmtId="0" fontId="42" fillId="5" borderId="78" xfId="0" applyFont="1" applyFill="1" applyBorder="1" applyProtection="1"/>
    <xf numFmtId="0" fontId="42" fillId="5" borderId="35" xfId="0" applyFont="1" applyFill="1" applyBorder="1" applyProtection="1"/>
    <xf numFmtId="0" fontId="42" fillId="5" borderId="41" xfId="0" applyFont="1" applyFill="1" applyBorder="1" applyProtection="1"/>
    <xf numFmtId="3" fontId="42" fillId="5" borderId="87" xfId="0" applyNumberFormat="1" applyFont="1" applyFill="1" applyBorder="1" applyAlignment="1" applyProtection="1">
      <alignment horizontal="center"/>
    </xf>
    <xf numFmtId="3" fontId="42" fillId="5" borderId="30" xfId="0" applyNumberFormat="1" applyFont="1" applyFill="1" applyBorder="1" applyAlignment="1" applyProtection="1">
      <alignment horizontal="center"/>
    </xf>
    <xf numFmtId="3" fontId="42" fillId="5" borderId="88" xfId="0" applyNumberFormat="1" applyFont="1" applyFill="1" applyBorder="1" applyAlignment="1" applyProtection="1">
      <alignment horizontal="center"/>
    </xf>
    <xf numFmtId="0" fontId="42" fillId="5" borderId="78" xfId="0" applyFont="1" applyFill="1" applyBorder="1" applyAlignment="1" applyProtection="1">
      <alignment horizontal="center"/>
    </xf>
    <xf numFmtId="0" fontId="42" fillId="5" borderId="35" xfId="0" applyFont="1" applyFill="1" applyBorder="1" applyAlignment="1" applyProtection="1">
      <alignment horizontal="center"/>
    </xf>
    <xf numFmtId="0" fontId="42" fillId="5" borderId="47" xfId="0" applyFont="1" applyFill="1" applyBorder="1" applyAlignment="1" applyProtection="1">
      <alignment horizontal="center"/>
    </xf>
    <xf numFmtId="0" fontId="42" fillId="5" borderId="41" xfId="0" applyFont="1" applyFill="1" applyBorder="1" applyAlignment="1" applyProtection="1">
      <alignment horizontal="center"/>
    </xf>
    <xf numFmtId="0" fontId="86" fillId="0" borderId="0" xfId="0" applyFont="1" applyBorder="1"/>
    <xf numFmtId="0" fontId="123" fillId="0" borderId="0" xfId="0" applyFont="1" applyFill="1" applyBorder="1" applyAlignment="1">
      <alignment wrapText="1"/>
    </xf>
    <xf numFmtId="0" fontId="92" fillId="0" borderId="0" xfId="0" applyFont="1" applyFill="1" applyBorder="1" applyAlignment="1"/>
    <xf numFmtId="0" fontId="123" fillId="0" borderId="0" xfId="0" applyFont="1" applyFill="1" applyBorder="1" applyAlignment="1"/>
    <xf numFmtId="3" fontId="0" fillId="0" borderId="0" xfId="0" applyNumberFormat="1" applyBorder="1" applyAlignment="1">
      <alignment horizontal="left"/>
    </xf>
    <xf numFmtId="0" fontId="0" fillId="0" borderId="33" xfId="0" applyBorder="1" applyAlignment="1">
      <alignment horizontal="left"/>
    </xf>
    <xf numFmtId="3" fontId="16" fillId="0" borderId="33" xfId="0" applyNumberFormat="1" applyFont="1" applyBorder="1" applyAlignment="1">
      <alignment horizontal="left"/>
    </xf>
    <xf numFmtId="0" fontId="31" fillId="0" borderId="0" xfId="0" applyFont="1" applyBorder="1" applyAlignment="1">
      <alignment horizontal="left"/>
    </xf>
    <xf numFmtId="14" fontId="31" fillId="0" borderId="2" xfId="0" applyNumberFormat="1" applyFont="1" applyBorder="1"/>
    <xf numFmtId="0" fontId="34" fillId="4" borderId="0" xfId="0" applyFont="1" applyFill="1" applyAlignment="1" applyProtection="1">
      <alignment wrapText="1"/>
    </xf>
    <xf numFmtId="0" fontId="31" fillId="0" borderId="0" xfId="0" applyFont="1" applyFill="1" applyBorder="1" applyAlignment="1" applyProtection="1">
      <alignment vertical="top"/>
    </xf>
    <xf numFmtId="0" fontId="28" fillId="58" borderId="0" xfId="0" applyFont="1" applyFill="1" applyProtection="1"/>
    <xf numFmtId="0" fontId="84" fillId="59" borderId="0" xfId="0" applyFont="1" applyFill="1" applyAlignment="1" applyProtection="1">
      <alignment horizontal="left"/>
    </xf>
    <xf numFmtId="0" fontId="28" fillId="59" borderId="0" xfId="0" applyFont="1" applyFill="1" applyAlignment="1" applyProtection="1"/>
    <xf numFmtId="0" fontId="28" fillId="59" borderId="0" xfId="0" applyFont="1" applyFill="1" applyAlignment="1" applyProtection="1">
      <alignment horizontal="center"/>
    </xf>
    <xf numFmtId="0" fontId="28" fillId="59" borderId="0" xfId="0" applyFont="1" applyFill="1" applyProtection="1"/>
    <xf numFmtId="0" fontId="28" fillId="59" borderId="0" xfId="0" applyFont="1" applyFill="1" applyAlignment="1">
      <alignment horizontal="center"/>
    </xf>
    <xf numFmtId="0" fontId="28" fillId="59" borderId="0" xfId="0" applyFont="1" applyFill="1"/>
    <xf numFmtId="0" fontId="56" fillId="58" borderId="0" xfId="0" applyFont="1" applyFill="1" applyProtection="1"/>
    <xf numFmtId="0" fontId="56" fillId="58" borderId="0" xfId="0" applyFont="1" applyFill="1"/>
    <xf numFmtId="0" fontId="85" fillId="59" borderId="66" xfId="0" applyFont="1" applyFill="1" applyBorder="1" applyAlignment="1" applyProtection="1">
      <alignment horizontal="center"/>
    </xf>
    <xf numFmtId="0" fontId="85" fillId="59" borderId="92" xfId="0" applyFont="1" applyFill="1" applyBorder="1" applyAlignment="1" applyProtection="1">
      <alignment horizontal="center"/>
    </xf>
    <xf numFmtId="0" fontId="85" fillId="59" borderId="76" xfId="0" applyFont="1" applyFill="1" applyBorder="1" applyAlignment="1" applyProtection="1">
      <alignment horizontal="center"/>
    </xf>
    <xf numFmtId="0" fontId="29" fillId="58" borderId="0" xfId="0" applyFont="1" applyFill="1" applyAlignment="1" applyProtection="1">
      <alignment horizontal="left"/>
    </xf>
    <xf numFmtId="0" fontId="29" fillId="58" borderId="0" xfId="0" applyFont="1" applyFill="1" applyAlignment="1" applyProtection="1"/>
    <xf numFmtId="0" fontId="54" fillId="58" borderId="0" xfId="0" applyFont="1" applyFill="1" applyAlignment="1" applyProtection="1"/>
    <xf numFmtId="0" fontId="54" fillId="58" borderId="0" xfId="0" applyFont="1" applyFill="1" applyAlignment="1" applyProtection="1">
      <alignment horizontal="left"/>
    </xf>
    <xf numFmtId="0" fontId="54" fillId="58" borderId="0" xfId="0" applyFont="1" applyFill="1" applyAlignment="1" applyProtection="1">
      <alignment horizontal="center"/>
    </xf>
    <xf numFmtId="0" fontId="54" fillId="58" borderId="0" xfId="0" applyFont="1" applyFill="1" applyProtection="1"/>
    <xf numFmtId="0" fontId="54" fillId="58" borderId="0" xfId="0" applyFont="1" applyFill="1"/>
    <xf numFmtId="0" fontId="27" fillId="59" borderId="0" xfId="0" applyFont="1" applyFill="1" applyAlignment="1">
      <alignment horizontal="left"/>
    </xf>
    <xf numFmtId="0" fontId="29" fillId="58" borderId="0" xfId="0" applyFont="1" applyFill="1" applyAlignment="1">
      <alignment horizontal="left"/>
    </xf>
    <xf numFmtId="0" fontId="28" fillId="59" borderId="0" xfId="0" applyFont="1" applyFill="1" applyAlignment="1" applyProtection="1">
      <alignment horizontal="center" wrapText="1"/>
    </xf>
    <xf numFmtId="0" fontId="30" fillId="58" borderId="0" xfId="0" applyFont="1" applyFill="1" applyAlignment="1" applyProtection="1">
      <alignment horizontal="center"/>
    </xf>
    <xf numFmtId="0" fontId="30" fillId="58" borderId="0" xfId="0" applyFont="1" applyFill="1" applyProtection="1"/>
    <xf numFmtId="0" fontId="30" fillId="58" borderId="0" xfId="0" applyFont="1" applyFill="1" applyAlignment="1" applyProtection="1">
      <alignment horizontal="center" wrapText="1"/>
    </xf>
    <xf numFmtId="0" fontId="41" fillId="58" borderId="30" xfId="0" applyFont="1" applyFill="1" applyBorder="1" applyAlignment="1" applyProtection="1">
      <alignment horizontal="left"/>
    </xf>
    <xf numFmtId="0" fontId="31" fillId="58" borderId="35" xfId="0" applyFont="1" applyFill="1" applyBorder="1" applyAlignment="1" applyProtection="1">
      <alignment horizontal="left"/>
    </xf>
    <xf numFmtId="0" fontId="32" fillId="58" borderId="0" xfId="0" applyFont="1" applyFill="1" applyAlignment="1" applyProtection="1"/>
    <xf numFmtId="0" fontId="48" fillId="58" borderId="0" xfId="0" applyFont="1" applyFill="1" applyAlignment="1" applyProtection="1"/>
    <xf numFmtId="0" fontId="48" fillId="58" borderId="0" xfId="0" applyFont="1" applyFill="1" applyAlignment="1" applyProtection="1">
      <alignment horizontal="center"/>
    </xf>
    <xf numFmtId="0" fontId="0" fillId="58" borderId="71" xfId="0" applyFill="1" applyBorder="1" applyProtection="1"/>
    <xf numFmtId="0" fontId="0" fillId="58" borderId="77" xfId="0" applyFill="1" applyBorder="1" applyProtection="1"/>
    <xf numFmtId="0" fontId="32" fillId="58" borderId="0" xfId="0" applyFont="1" applyFill="1" applyAlignment="1" applyProtection="1">
      <alignment horizontal="left"/>
    </xf>
    <xf numFmtId="0" fontId="31" fillId="58" borderId="0" xfId="0" applyFont="1" applyFill="1" applyAlignment="1" applyProtection="1"/>
    <xf numFmtId="0" fontId="31" fillId="58" borderId="0" xfId="0" applyFont="1" applyFill="1" applyAlignment="1" applyProtection="1">
      <alignment horizontal="center"/>
    </xf>
    <xf numFmtId="0" fontId="37" fillId="59" borderId="22" xfId="5" applyFont="1" applyFill="1" applyBorder="1" applyAlignment="1" applyProtection="1">
      <alignment vertical="center" wrapText="1"/>
    </xf>
    <xf numFmtId="0" fontId="37" fillId="59" borderId="76" xfId="5" applyFont="1" applyFill="1" applyBorder="1" applyAlignment="1" applyProtection="1">
      <alignment horizontal="center" vertical="center" wrapText="1"/>
    </xf>
    <xf numFmtId="0" fontId="37" fillId="59" borderId="22" xfId="0" applyFont="1" applyFill="1" applyBorder="1" applyAlignment="1" applyProtection="1">
      <alignment horizontal="centerContinuous"/>
    </xf>
    <xf numFmtId="0" fontId="37" fillId="59" borderId="23" xfId="0" applyFont="1" applyFill="1" applyBorder="1" applyAlignment="1" applyProtection="1">
      <alignment horizontal="centerContinuous"/>
    </xf>
    <xf numFmtId="0" fontId="31" fillId="58" borderId="75" xfId="0" applyFont="1" applyFill="1" applyBorder="1" applyAlignment="1" applyProtection="1">
      <alignment horizontal="right"/>
    </xf>
    <xf numFmtId="0" fontId="31" fillId="58" borderId="53" xfId="0" applyFont="1" applyFill="1" applyBorder="1" applyAlignment="1" applyProtection="1">
      <alignment horizontal="right"/>
    </xf>
    <xf numFmtId="0" fontId="33" fillId="58" borderId="54" xfId="0" applyFont="1" applyFill="1" applyBorder="1" applyAlignment="1" applyProtection="1">
      <alignment horizontal="right"/>
    </xf>
    <xf numFmtId="0" fontId="31" fillId="58" borderId="72" xfId="0" applyFont="1" applyFill="1" applyBorder="1" applyAlignment="1" applyProtection="1">
      <alignment horizontal="right"/>
    </xf>
    <xf numFmtId="0" fontId="31" fillId="58" borderId="73" xfId="0" applyFont="1" applyFill="1" applyBorder="1" applyAlignment="1" applyProtection="1">
      <alignment horizontal="right"/>
    </xf>
    <xf numFmtId="0" fontId="33" fillId="58" borderId="105" xfId="0" applyFont="1" applyFill="1" applyBorder="1" applyAlignment="1" applyProtection="1">
      <alignment horizontal="right"/>
    </xf>
    <xf numFmtId="3" fontId="56" fillId="58" borderId="0" xfId="0" applyNumberFormat="1" applyFont="1" applyFill="1" applyBorder="1" applyAlignment="1" applyProtection="1">
      <alignment horizontal="center"/>
    </xf>
    <xf numFmtId="0" fontId="77" fillId="58" borderId="0" xfId="0" applyFont="1" applyFill="1" applyAlignment="1" applyProtection="1">
      <alignment horizontal="left"/>
    </xf>
    <xf numFmtId="3" fontId="48" fillId="58" borderId="0" xfId="0" applyNumberFormat="1" applyFont="1" applyFill="1" applyBorder="1" applyAlignment="1" applyProtection="1">
      <alignment horizontal="center"/>
    </xf>
    <xf numFmtId="0" fontId="31" fillId="58" borderId="3" xfId="0" applyFont="1" applyFill="1" applyBorder="1" applyAlignment="1" applyProtection="1">
      <alignment horizontal="center"/>
    </xf>
    <xf numFmtId="0" fontId="27" fillId="59" borderId="0" xfId="0" applyFont="1" applyFill="1" applyAlignment="1" applyProtection="1">
      <alignment horizontal="left"/>
    </xf>
    <xf numFmtId="0" fontId="31" fillId="58" borderId="0" xfId="0" applyFont="1" applyFill="1" applyProtection="1"/>
    <xf numFmtId="0" fontId="31" fillId="59" borderId="10" xfId="0" applyFont="1" applyFill="1" applyBorder="1" applyAlignment="1" applyProtection="1">
      <alignment horizontal="centerContinuous"/>
    </xf>
    <xf numFmtId="0" fontId="31" fillId="59" borderId="17" xfId="0" applyFont="1" applyFill="1" applyBorder="1" applyAlignment="1" applyProtection="1">
      <alignment horizontal="centerContinuous"/>
    </xf>
    <xf numFmtId="0" fontId="33" fillId="58" borderId="66" xfId="0" applyFont="1" applyFill="1" applyBorder="1" applyAlignment="1" applyProtection="1">
      <alignment horizontal="center" vertical="top" wrapText="1"/>
    </xf>
    <xf numFmtId="0" fontId="33" fillId="58" borderId="76" xfId="0" applyFont="1" applyFill="1" applyBorder="1" applyAlignment="1" applyProtection="1">
      <alignment horizontal="center" vertical="top" wrapText="1"/>
    </xf>
    <xf numFmtId="0" fontId="33" fillId="58" borderId="69" xfId="0" applyFont="1" applyFill="1" applyBorder="1" applyAlignment="1" applyProtection="1">
      <alignment horizontal="center" vertical="top" wrapText="1"/>
    </xf>
    <xf numFmtId="0" fontId="33" fillId="58" borderId="106" xfId="0" applyFont="1" applyFill="1" applyBorder="1" applyAlignment="1" applyProtection="1">
      <alignment horizontal="center" vertical="top" wrapText="1"/>
    </xf>
    <xf numFmtId="0" fontId="37" fillId="59" borderId="70" xfId="0" applyFont="1" applyFill="1" applyBorder="1" applyAlignment="1" applyProtection="1">
      <alignment horizontal="center" vertical="center" wrapText="1"/>
    </xf>
    <xf numFmtId="0" fontId="37" fillId="59" borderId="33" xfId="0" applyFont="1" applyFill="1" applyBorder="1" applyAlignment="1" applyProtection="1">
      <alignment horizontal="center" vertical="center" wrapText="1"/>
    </xf>
    <xf numFmtId="0" fontId="37" fillId="59" borderId="67" xfId="0" applyFont="1" applyFill="1" applyBorder="1" applyAlignment="1" applyProtection="1">
      <alignment horizontal="center" vertical="center" wrapText="1"/>
    </xf>
    <xf numFmtId="0" fontId="31" fillId="59" borderId="0" xfId="0" applyFont="1" applyFill="1" applyProtection="1"/>
    <xf numFmtId="0" fontId="37" fillId="59" borderId="124" xfId="0" applyFont="1" applyFill="1" applyBorder="1" applyAlignment="1" applyProtection="1">
      <alignment horizontal="right"/>
    </xf>
    <xf numFmtId="0" fontId="37" fillId="59" borderId="19" xfId="0" applyFont="1" applyFill="1" applyBorder="1" applyAlignment="1" applyProtection="1">
      <alignment horizontal="center"/>
    </xf>
    <xf numFmtId="0" fontId="37" fillId="59" borderId="82" xfId="0" applyFont="1" applyFill="1" applyBorder="1" applyAlignment="1" applyProtection="1">
      <alignment horizontal="center"/>
    </xf>
    <xf numFmtId="0" fontId="41" fillId="58" borderId="75" xfId="0" applyFont="1" applyFill="1" applyBorder="1" applyAlignment="1" applyProtection="1"/>
    <xf numFmtId="3" fontId="31" fillId="58" borderId="53" xfId="0" applyNumberFormat="1" applyFont="1" applyFill="1" applyBorder="1" applyAlignment="1" applyProtection="1">
      <alignment horizontal="center" wrapText="1"/>
    </xf>
    <xf numFmtId="3" fontId="31" fillId="58" borderId="83" xfId="0" applyNumberFormat="1" applyFont="1" applyFill="1" applyBorder="1" applyAlignment="1" applyProtection="1">
      <alignment horizontal="center" wrapText="1"/>
    </xf>
    <xf numFmtId="0" fontId="37" fillId="59" borderId="70" xfId="0" applyFont="1" applyFill="1" applyBorder="1" applyAlignment="1" applyProtection="1">
      <alignment horizontal="right" wrapText="1"/>
    </xf>
    <xf numFmtId="0" fontId="37" fillId="59" borderId="87" xfId="0" applyFont="1" applyFill="1" applyBorder="1" applyAlignment="1" applyProtection="1">
      <alignment horizontal="right" wrapText="1"/>
    </xf>
    <xf numFmtId="0" fontId="37" fillId="59" borderId="71" xfId="0" applyFont="1" applyFill="1" applyBorder="1" applyAlignment="1" applyProtection="1">
      <alignment horizontal="right" wrapText="1"/>
    </xf>
    <xf numFmtId="0" fontId="33" fillId="58" borderId="22" xfId="0" applyFont="1" applyFill="1" applyBorder="1" applyAlignment="1" applyProtection="1"/>
    <xf numFmtId="3" fontId="1" fillId="58" borderId="23" xfId="0" applyNumberFormat="1" applyFont="1" applyFill="1" applyBorder="1" applyAlignment="1" applyProtection="1">
      <alignment horizontal="center" wrapText="1"/>
    </xf>
    <xf numFmtId="3" fontId="1" fillId="58" borderId="84" xfId="0" applyNumberFormat="1" applyFont="1" applyFill="1" applyBorder="1" applyAlignment="1" applyProtection="1">
      <alignment horizontal="center" wrapText="1"/>
    </xf>
    <xf numFmtId="0" fontId="31" fillId="58" borderId="0" xfId="0" applyFont="1" applyFill="1" applyBorder="1" applyProtection="1"/>
    <xf numFmtId="3" fontId="37" fillId="59" borderId="33" xfId="0" applyNumberFormat="1" applyFont="1" applyFill="1" applyBorder="1" applyAlignment="1" applyProtection="1">
      <alignment horizontal="center"/>
    </xf>
    <xf numFmtId="3" fontId="37" fillId="59" borderId="67" xfId="0" applyNumberFormat="1" applyFont="1" applyFill="1" applyBorder="1" applyAlignment="1" applyProtection="1">
      <alignment horizontal="center"/>
    </xf>
    <xf numFmtId="3" fontId="37" fillId="59" borderId="77" xfId="0" applyNumberFormat="1" applyFont="1" applyFill="1" applyBorder="1" applyAlignment="1" applyProtection="1">
      <alignment horizontal="center"/>
    </xf>
    <xf numFmtId="3" fontId="37" fillId="59" borderId="68" xfId="0" applyNumberFormat="1" applyFont="1" applyFill="1" applyBorder="1" applyAlignment="1" applyProtection="1">
      <alignment horizontal="center"/>
    </xf>
    <xf numFmtId="0" fontId="37" fillId="59" borderId="66" xfId="0" applyFont="1" applyFill="1" applyBorder="1" applyAlignment="1" applyProtection="1">
      <alignment horizontal="right" wrapText="1"/>
    </xf>
    <xf numFmtId="0" fontId="111" fillId="59" borderId="22" xfId="0" applyFont="1" applyFill="1" applyBorder="1" applyAlignment="1" applyProtection="1">
      <alignment horizontal="left"/>
    </xf>
    <xf numFmtId="0" fontId="41" fillId="59" borderId="23" xfId="0" applyFont="1" applyFill="1" applyBorder="1" applyAlignment="1" applyProtection="1">
      <alignment horizontal="center"/>
    </xf>
    <xf numFmtId="0" fontId="31" fillId="59" borderId="84" xfId="0" applyFont="1" applyFill="1" applyBorder="1" applyProtection="1"/>
    <xf numFmtId="0" fontId="37" fillId="59" borderId="70" xfId="0" applyFont="1" applyFill="1" applyBorder="1" applyAlignment="1" applyProtection="1">
      <alignment horizontal="right"/>
    </xf>
    <xf numFmtId="0" fontId="37" fillId="59" borderId="33" xfId="0" applyFont="1" applyFill="1" applyBorder="1" applyAlignment="1" applyProtection="1">
      <alignment horizontal="center" wrapText="1"/>
    </xf>
    <xf numFmtId="0" fontId="37" fillId="59" borderId="67" xfId="0" applyFont="1" applyFill="1" applyBorder="1" applyAlignment="1" applyProtection="1">
      <alignment horizontal="center" wrapText="1"/>
    </xf>
    <xf numFmtId="0" fontId="55" fillId="58" borderId="0" xfId="0" applyFont="1" applyFill="1" applyBorder="1" applyAlignment="1" applyProtection="1">
      <alignment horizontal="center" wrapText="1"/>
    </xf>
    <xf numFmtId="0" fontId="42" fillId="58" borderId="0" xfId="0" applyFont="1" applyFill="1" applyProtection="1"/>
    <xf numFmtId="0" fontId="31" fillId="58" borderId="33" xfId="5" applyFont="1" applyFill="1" applyBorder="1" applyAlignment="1" applyProtection="1">
      <alignment horizontal="right" vertical="center" wrapText="1"/>
      <protection hidden="1"/>
    </xf>
    <xf numFmtId="3" fontId="42" fillId="58" borderId="33" xfId="0" applyNumberFormat="1" applyFont="1" applyFill="1" applyBorder="1" applyAlignment="1" applyProtection="1">
      <alignment horizontal="center"/>
    </xf>
    <xf numFmtId="3" fontId="42" fillId="58" borderId="34" xfId="0" applyNumberFormat="1" applyFont="1" applyFill="1" applyBorder="1" applyAlignment="1" applyProtection="1">
      <alignment horizontal="center"/>
    </xf>
    <xf numFmtId="3" fontId="42" fillId="58" borderId="70" xfId="0" applyNumberFormat="1" applyFont="1" applyFill="1" applyBorder="1" applyAlignment="1" applyProtection="1">
      <alignment horizontal="center"/>
    </xf>
    <xf numFmtId="3" fontId="42" fillId="58" borderId="67" xfId="0" applyNumberFormat="1" applyFont="1" applyFill="1" applyBorder="1" applyAlignment="1" applyProtection="1">
      <alignment horizontal="center"/>
    </xf>
    <xf numFmtId="3" fontId="42" fillId="58" borderId="87" xfId="0" applyNumberFormat="1" applyFont="1" applyFill="1" applyBorder="1" applyProtection="1"/>
    <xf numFmtId="3" fontId="42" fillId="58" borderId="30" xfId="0" applyNumberFormat="1" applyFont="1" applyFill="1" applyBorder="1" applyProtection="1"/>
    <xf numFmtId="3" fontId="42" fillId="58" borderId="88" xfId="0" applyNumberFormat="1" applyFont="1" applyFill="1" applyBorder="1" applyProtection="1"/>
    <xf numFmtId="0" fontId="42" fillId="58" borderId="27" xfId="0" applyFont="1" applyFill="1" applyBorder="1" applyProtection="1"/>
    <xf numFmtId="0" fontId="42" fillId="58" borderId="18" xfId="0" applyFont="1" applyFill="1" applyBorder="1" applyProtection="1"/>
    <xf numFmtId="0" fontId="42" fillId="58" borderId="39" xfId="0" applyFont="1" applyFill="1" applyBorder="1" applyProtection="1"/>
    <xf numFmtId="0" fontId="42" fillId="58" borderId="78" xfId="0" applyFont="1" applyFill="1" applyBorder="1" applyProtection="1"/>
    <xf numFmtId="0" fontId="42" fillId="58" borderId="35" xfId="0" applyFont="1" applyFill="1" applyBorder="1" applyProtection="1"/>
    <xf numFmtId="0" fontId="42" fillId="58" borderId="41" xfId="0" applyFont="1" applyFill="1" applyBorder="1" applyProtection="1"/>
    <xf numFmtId="0" fontId="41" fillId="58" borderId="33" xfId="5" applyFont="1" applyFill="1" applyBorder="1" applyAlignment="1" applyProtection="1">
      <alignment horizontal="right" vertical="center" wrapText="1"/>
      <protection hidden="1"/>
    </xf>
    <xf numFmtId="3" fontId="60" fillId="58" borderId="33" xfId="0" applyNumberFormat="1" applyFont="1" applyFill="1" applyBorder="1" applyAlignment="1" applyProtection="1">
      <alignment horizontal="center"/>
    </xf>
    <xf numFmtId="3" fontId="60" fillId="58" borderId="34" xfId="0" applyNumberFormat="1" applyFont="1" applyFill="1" applyBorder="1" applyAlignment="1" applyProtection="1">
      <alignment horizontal="center"/>
    </xf>
    <xf numFmtId="3" fontId="60" fillId="58" borderId="71" xfId="0" applyNumberFormat="1" applyFont="1" applyFill="1" applyBorder="1" applyAlignment="1" applyProtection="1">
      <alignment horizontal="center"/>
    </xf>
    <xf numFmtId="3" fontId="60" fillId="58" borderId="77" xfId="0" applyNumberFormat="1" applyFont="1" applyFill="1" applyBorder="1" applyAlignment="1" applyProtection="1">
      <alignment horizontal="center"/>
    </xf>
    <xf numFmtId="3" fontId="60" fillId="58" borderId="68" xfId="0" applyNumberFormat="1" applyFont="1" applyFill="1" applyBorder="1" applyAlignment="1" applyProtection="1">
      <alignment horizontal="center"/>
    </xf>
    <xf numFmtId="3" fontId="42" fillId="58" borderId="71" xfId="0" applyNumberFormat="1" applyFont="1" applyFill="1" applyBorder="1" applyProtection="1"/>
    <xf numFmtId="3" fontId="42" fillId="58" borderId="77" xfId="0" applyNumberFormat="1" applyFont="1" applyFill="1" applyBorder="1" applyProtection="1"/>
    <xf numFmtId="3" fontId="42" fillId="58" borderId="68" xfId="0" applyNumberFormat="1" applyFont="1" applyFill="1" applyBorder="1" applyProtection="1"/>
    <xf numFmtId="3" fontId="42" fillId="58" borderId="87" xfId="0" applyNumberFormat="1" applyFont="1" applyFill="1" applyBorder="1" applyAlignment="1" applyProtection="1">
      <alignment horizontal="center"/>
    </xf>
    <xf numFmtId="3" fontId="42" fillId="58" borderId="30" xfId="0" applyNumberFormat="1" applyFont="1" applyFill="1" applyBorder="1" applyAlignment="1" applyProtection="1">
      <alignment horizontal="center"/>
    </xf>
    <xf numFmtId="3" fontId="42" fillId="58" borderId="88" xfId="0" applyNumberFormat="1" applyFont="1" applyFill="1" applyBorder="1" applyAlignment="1" applyProtection="1">
      <alignment horizontal="center"/>
    </xf>
    <xf numFmtId="0" fontId="42" fillId="58" borderId="27" xfId="0" applyFont="1" applyFill="1" applyBorder="1" applyAlignment="1" applyProtection="1">
      <alignment horizontal="center"/>
    </xf>
    <xf numFmtId="0" fontId="42" fillId="58" borderId="18" xfId="0" applyFont="1" applyFill="1" applyBorder="1" applyAlignment="1" applyProtection="1">
      <alignment horizontal="center"/>
    </xf>
    <xf numFmtId="0" fontId="42" fillId="58" borderId="7" xfId="0" applyFont="1" applyFill="1" applyBorder="1" applyAlignment="1" applyProtection="1">
      <alignment horizontal="center"/>
    </xf>
    <xf numFmtId="0" fontId="42" fillId="58" borderId="39" xfId="0" applyFont="1" applyFill="1" applyBorder="1" applyAlignment="1" applyProtection="1">
      <alignment horizontal="center"/>
    </xf>
    <xf numFmtId="0" fontId="42" fillId="58" borderId="78" xfId="0" applyFont="1" applyFill="1" applyBorder="1" applyAlignment="1" applyProtection="1">
      <alignment horizontal="center"/>
    </xf>
    <xf numFmtId="0" fontId="42" fillId="58" borderId="35" xfId="0" applyFont="1" applyFill="1" applyBorder="1" applyAlignment="1" applyProtection="1">
      <alignment horizontal="center"/>
    </xf>
    <xf numFmtId="0" fontId="42" fillId="58" borderId="47" xfId="0" applyFont="1" applyFill="1" applyBorder="1" applyAlignment="1" applyProtection="1">
      <alignment horizontal="center"/>
    </xf>
    <xf numFmtId="0" fontId="42" fillId="58" borderId="41" xfId="0" applyFont="1" applyFill="1" applyBorder="1" applyAlignment="1" applyProtection="1">
      <alignment horizontal="center"/>
    </xf>
    <xf numFmtId="0" fontId="41" fillId="58" borderId="55" xfId="5" applyFont="1" applyFill="1" applyBorder="1" applyAlignment="1" applyProtection="1">
      <alignment horizontal="right" vertical="center" wrapText="1"/>
      <protection hidden="1"/>
    </xf>
    <xf numFmtId="3" fontId="60" fillId="58" borderId="55" xfId="0" applyNumberFormat="1" applyFont="1" applyFill="1" applyBorder="1" applyAlignment="1" applyProtection="1">
      <alignment horizontal="center"/>
    </xf>
    <xf numFmtId="3" fontId="60" fillId="58" borderId="93" xfId="0" applyNumberFormat="1" applyFont="1" applyFill="1" applyBorder="1" applyAlignment="1" applyProtection="1">
      <alignment horizontal="center"/>
    </xf>
    <xf numFmtId="3" fontId="60" fillId="58" borderId="95" xfId="0" applyNumberFormat="1" applyFont="1" applyFill="1" applyBorder="1" applyAlignment="1" applyProtection="1">
      <alignment horizontal="center"/>
    </xf>
    <xf numFmtId="3" fontId="60" fillId="58" borderId="96" xfId="0" applyNumberFormat="1" applyFont="1" applyFill="1" applyBorder="1" applyAlignment="1" applyProtection="1">
      <alignment horizontal="center"/>
    </xf>
    <xf numFmtId="3" fontId="42" fillId="58" borderId="95" xfId="0" applyNumberFormat="1" applyFont="1" applyFill="1" applyBorder="1" applyAlignment="1" applyProtection="1">
      <alignment horizontal="center"/>
    </xf>
    <xf numFmtId="3" fontId="42" fillId="58" borderId="55" xfId="0" applyNumberFormat="1" applyFont="1" applyFill="1" applyBorder="1" applyAlignment="1" applyProtection="1">
      <alignment horizontal="center"/>
    </xf>
    <xf numFmtId="3" fontId="42" fillId="58" borderId="96" xfId="0" applyNumberFormat="1" applyFont="1" applyFill="1" applyBorder="1" applyAlignment="1" applyProtection="1">
      <alignment horizontal="center"/>
    </xf>
    <xf numFmtId="0" fontId="41" fillId="59" borderId="18" xfId="5" applyFont="1" applyFill="1" applyBorder="1" applyAlignment="1" applyProtection="1">
      <alignment horizontal="right" vertical="center" wrapText="1"/>
      <protection hidden="1"/>
    </xf>
    <xf numFmtId="3" fontId="60" fillId="59" borderId="18" xfId="0" applyNumberFormat="1" applyFont="1" applyFill="1" applyBorder="1" applyAlignment="1" applyProtection="1">
      <alignment horizontal="center"/>
    </xf>
    <xf numFmtId="3" fontId="60" fillId="59" borderId="15" xfId="0" applyNumberFormat="1" applyFont="1" applyFill="1" applyBorder="1" applyAlignment="1" applyProtection="1">
      <alignment horizontal="center"/>
    </xf>
    <xf numFmtId="3" fontId="60" fillId="59" borderId="27" xfId="0" applyNumberFormat="1" applyFont="1" applyFill="1" applyBorder="1" applyAlignment="1" applyProtection="1">
      <alignment horizontal="center"/>
    </xf>
    <xf numFmtId="3" fontId="60" fillId="59" borderId="39" xfId="0" applyNumberFormat="1" applyFont="1" applyFill="1" applyBorder="1" applyAlignment="1" applyProtection="1">
      <alignment horizontal="center"/>
    </xf>
    <xf numFmtId="0" fontId="41" fillId="58" borderId="33" xfId="0" applyFont="1" applyFill="1" applyBorder="1" applyAlignment="1" applyProtection="1">
      <alignment horizontal="right"/>
    </xf>
    <xf numFmtId="3" fontId="41" fillId="58" borderId="33" xfId="0" applyNumberFormat="1" applyFont="1" applyFill="1" applyBorder="1" applyAlignment="1" applyProtection="1">
      <alignment horizontal="center"/>
    </xf>
    <xf numFmtId="3" fontId="41" fillId="58" borderId="34" xfId="0" applyNumberFormat="1" applyFont="1" applyFill="1" applyBorder="1" applyAlignment="1" applyProtection="1">
      <alignment horizontal="center"/>
    </xf>
    <xf numFmtId="3" fontId="41" fillId="58" borderId="71" xfId="0" applyNumberFormat="1" applyFont="1" applyFill="1" applyBorder="1" applyAlignment="1" applyProtection="1">
      <alignment horizontal="center"/>
    </xf>
    <xf numFmtId="3" fontId="41" fillId="58" borderId="77" xfId="0" applyNumberFormat="1" applyFont="1" applyFill="1" applyBorder="1" applyAlignment="1" applyProtection="1">
      <alignment horizontal="center"/>
    </xf>
    <xf numFmtId="3" fontId="41" fillId="58" borderId="68" xfId="0" applyNumberFormat="1" applyFont="1" applyFill="1" applyBorder="1" applyAlignment="1" applyProtection="1">
      <alignment horizontal="center"/>
    </xf>
    <xf numFmtId="0" fontId="53" fillId="58" borderId="0" xfId="0" applyFont="1" applyFill="1" applyProtection="1"/>
    <xf numFmtId="0" fontId="53" fillId="59" borderId="0" xfId="0" applyFont="1" applyFill="1" applyProtection="1"/>
    <xf numFmtId="0" fontId="28" fillId="59" borderId="0" xfId="0" applyFont="1" applyFill="1" applyBorder="1" applyProtection="1"/>
    <xf numFmtId="0" fontId="30" fillId="58" borderId="0" xfId="0" applyFont="1" applyFill="1" applyBorder="1" applyProtection="1"/>
    <xf numFmtId="0" fontId="41" fillId="58" borderId="30" xfId="0" applyFont="1" applyFill="1" applyBorder="1" applyProtection="1"/>
    <xf numFmtId="0" fontId="31" fillId="58" borderId="35" xfId="0" applyFont="1" applyFill="1" applyBorder="1" applyProtection="1"/>
    <xf numFmtId="0" fontId="48" fillId="58" borderId="0" xfId="0" applyFont="1" applyFill="1" applyProtection="1"/>
    <xf numFmtId="0" fontId="36" fillId="58" borderId="0" xfId="0" applyFont="1" applyFill="1" applyAlignment="1" applyProtection="1"/>
    <xf numFmtId="0" fontId="0" fillId="58" borderId="0" xfId="0" applyFont="1" applyFill="1" applyAlignment="1" applyProtection="1">
      <alignment horizontal="center"/>
    </xf>
    <xf numFmtId="0" fontId="48" fillId="58" borderId="0" xfId="0" applyFont="1" applyFill="1" applyBorder="1" applyProtection="1"/>
    <xf numFmtId="0" fontId="111" fillId="59" borderId="125" xfId="0" applyFont="1" applyFill="1" applyBorder="1" applyAlignment="1" applyProtection="1">
      <alignment horizontal="right" vertical="center" wrapText="1"/>
    </xf>
    <xf numFmtId="0" fontId="106" fillId="59" borderId="126" xfId="0" applyFont="1" applyFill="1" applyBorder="1" applyAlignment="1" applyProtection="1">
      <alignment vertical="top" wrapText="1"/>
    </xf>
    <xf numFmtId="0" fontId="95" fillId="58" borderId="0" xfId="0" applyFont="1" applyFill="1" applyBorder="1" applyAlignment="1" applyProtection="1">
      <alignment horizontal="left"/>
    </xf>
    <xf numFmtId="0" fontId="38" fillId="58" borderId="0" xfId="0" applyFont="1" applyFill="1" applyBorder="1" applyProtection="1"/>
    <xf numFmtId="0" fontId="0" fillId="58" borderId="0" xfId="0" applyFont="1" applyFill="1" applyBorder="1" applyProtection="1"/>
    <xf numFmtId="0" fontId="19" fillId="58" borderId="0" xfId="1" applyFill="1" applyBorder="1" applyAlignment="1" applyProtection="1">
      <alignment horizontal="left"/>
    </xf>
    <xf numFmtId="0" fontId="79" fillId="58" borderId="0" xfId="0" applyFont="1" applyFill="1" applyBorder="1" applyProtection="1"/>
    <xf numFmtId="0" fontId="31" fillId="58" borderId="0" xfId="0" applyFont="1" applyFill="1" applyBorder="1" applyAlignment="1" applyProtection="1">
      <alignment vertical="center"/>
    </xf>
    <xf numFmtId="0" fontId="0" fillId="58" borderId="0" xfId="0" applyFont="1" applyFill="1" applyBorder="1" applyAlignment="1" applyProtection="1">
      <alignment vertical="center"/>
    </xf>
    <xf numFmtId="0" fontId="31" fillId="58" borderId="0" xfId="0" applyFont="1" applyFill="1" applyBorder="1" applyAlignment="1" applyProtection="1">
      <alignment wrapText="1"/>
    </xf>
    <xf numFmtId="0" fontId="31" fillId="58" borderId="0" xfId="0" applyFont="1" applyFill="1" applyBorder="1" applyAlignment="1" applyProtection="1">
      <alignment vertical="top" wrapText="1"/>
    </xf>
    <xf numFmtId="0" fontId="113" fillId="59" borderId="66" xfId="0" applyFont="1" applyFill="1" applyBorder="1" applyAlignment="1" applyProtection="1">
      <alignment horizontal="centerContinuous" vertical="center" wrapText="1"/>
    </xf>
    <xf numFmtId="0" fontId="113" fillId="59" borderId="76" xfId="0" applyFont="1" applyFill="1" applyBorder="1" applyAlignment="1" applyProtection="1">
      <alignment horizontal="centerContinuous" vertical="center" wrapText="1"/>
    </xf>
    <xf numFmtId="0" fontId="113" fillId="59" borderId="69" xfId="0" applyFont="1" applyFill="1" applyBorder="1" applyAlignment="1" applyProtection="1">
      <alignment horizontal="centerContinuous" vertical="center" wrapText="1"/>
    </xf>
    <xf numFmtId="0" fontId="37" fillId="59" borderId="66" xfId="0" applyFont="1" applyFill="1" applyBorder="1" applyAlignment="1" applyProtection="1">
      <alignment horizontal="center" vertical="center" wrapText="1"/>
    </xf>
    <xf numFmtId="0" fontId="37" fillId="59" borderId="76" xfId="0" applyFont="1" applyFill="1" applyBorder="1" applyAlignment="1" applyProtection="1">
      <alignment horizontal="center" vertical="center" wrapText="1"/>
    </xf>
    <xf numFmtId="0" fontId="37" fillId="59" borderId="92" xfId="0" applyFont="1" applyFill="1" applyBorder="1" applyAlignment="1" applyProtection="1">
      <alignment horizontal="center" vertical="center" wrapText="1"/>
    </xf>
    <xf numFmtId="0" fontId="37" fillId="59" borderId="70" xfId="0" applyFont="1" applyFill="1" applyBorder="1" applyAlignment="1" applyProtection="1">
      <alignment vertical="center"/>
    </xf>
    <xf numFmtId="0" fontId="37" fillId="59" borderId="33" xfId="0" applyFont="1" applyFill="1" applyBorder="1" applyAlignment="1" applyProtection="1">
      <alignment horizontal="center"/>
    </xf>
    <xf numFmtId="0" fontId="37" fillId="59" borderId="34" xfId="0" applyFont="1" applyFill="1" applyBorder="1" applyAlignment="1" applyProtection="1">
      <alignment horizontal="center" wrapText="1"/>
    </xf>
    <xf numFmtId="0" fontId="37" fillId="59" borderId="70" xfId="0" applyFont="1" applyFill="1" applyBorder="1" applyAlignment="1" applyProtection="1">
      <alignment horizontal="center" wrapText="1"/>
    </xf>
    <xf numFmtId="0" fontId="37" fillId="59" borderId="67" xfId="0" applyFont="1" applyFill="1" applyBorder="1" applyAlignment="1" applyProtection="1">
      <alignment horizontal="center"/>
    </xf>
    <xf numFmtId="0" fontId="37" fillId="59" borderId="66" xfId="0" applyFont="1" applyFill="1" applyBorder="1" applyAlignment="1" applyProtection="1">
      <alignment horizontal="center" wrapText="1"/>
    </xf>
    <xf numFmtId="0" fontId="37" fillId="59" borderId="84" xfId="0" applyFont="1" applyFill="1" applyBorder="1" applyAlignment="1" applyProtection="1">
      <alignment horizontal="center" wrapText="1"/>
    </xf>
    <xf numFmtId="0" fontId="0" fillId="58" borderId="0" xfId="0" applyFill="1" applyProtection="1"/>
    <xf numFmtId="0" fontId="0" fillId="58" borderId="0" xfId="0" applyFont="1" applyFill="1" applyProtection="1"/>
    <xf numFmtId="0" fontId="0" fillId="58" borderId="0" xfId="0" applyFill="1" applyBorder="1" applyProtection="1"/>
    <xf numFmtId="0" fontId="114" fillId="59" borderId="22" xfId="0" applyFont="1" applyFill="1" applyBorder="1" applyAlignment="1" applyProtection="1">
      <alignment horizontal="centerContinuous" wrapText="1"/>
    </xf>
    <xf numFmtId="0" fontId="114" fillId="59" borderId="84" xfId="0" applyFont="1" applyFill="1" applyBorder="1" applyAlignment="1" applyProtection="1">
      <alignment horizontal="centerContinuous" wrapText="1"/>
    </xf>
    <xf numFmtId="0" fontId="31" fillId="58" borderId="2" xfId="0" applyFont="1" applyFill="1" applyBorder="1" applyAlignment="1" applyProtection="1">
      <alignment horizontal="center" wrapText="1"/>
    </xf>
    <xf numFmtId="0" fontId="0" fillId="58" borderId="70" xfId="0" applyFill="1" applyBorder="1" applyAlignment="1" applyProtection="1">
      <alignment horizontal="center" wrapText="1"/>
    </xf>
    <xf numFmtId="0" fontId="0" fillId="58" borderId="67" xfId="0" applyFill="1" applyBorder="1" applyAlignment="1" applyProtection="1">
      <alignment horizontal="center" wrapText="1"/>
    </xf>
    <xf numFmtId="0" fontId="0" fillId="58" borderId="95" xfId="0" applyFill="1" applyBorder="1" applyAlignment="1" applyProtection="1">
      <alignment horizontal="center"/>
    </xf>
    <xf numFmtId="3" fontId="31" fillId="58" borderId="2" xfId="0" applyNumberFormat="1" applyFont="1" applyFill="1" applyBorder="1" applyAlignment="1" applyProtection="1">
      <alignment horizontal="center"/>
    </xf>
    <xf numFmtId="0" fontId="0" fillId="58" borderId="91" xfId="0" applyFill="1" applyBorder="1" applyAlignment="1" applyProtection="1">
      <alignment horizontal="center"/>
    </xf>
    <xf numFmtId="0" fontId="0" fillId="58" borderId="89" xfId="0" applyFill="1" applyBorder="1" applyAlignment="1" applyProtection="1">
      <alignment horizontal="center"/>
    </xf>
    <xf numFmtId="0" fontId="31" fillId="58" borderId="2" xfId="0" applyFont="1" applyFill="1" applyBorder="1" applyAlignment="1" applyProtection="1">
      <alignment horizontal="center"/>
    </xf>
    <xf numFmtId="0" fontId="0" fillId="58" borderId="46" xfId="0" applyFill="1" applyBorder="1" applyAlignment="1" applyProtection="1">
      <alignment horizontal="center"/>
    </xf>
    <xf numFmtId="0" fontId="0" fillId="58" borderId="50" xfId="0" applyFill="1" applyBorder="1" applyAlignment="1" applyProtection="1">
      <alignment horizontal="center"/>
    </xf>
    <xf numFmtId="0" fontId="59" fillId="59" borderId="24" xfId="0" applyFont="1" applyFill="1" applyBorder="1" applyAlignment="1" applyProtection="1">
      <alignment vertical="top" wrapText="1"/>
    </xf>
    <xf numFmtId="0" fontId="81" fillId="58" borderId="22" xfId="7" applyFont="1" applyFill="1" applyBorder="1" applyProtection="1"/>
    <xf numFmtId="0" fontId="81" fillId="58" borderId="75" xfId="7" applyFont="1" applyFill="1" applyBorder="1" applyProtection="1"/>
    <xf numFmtId="0" fontId="81" fillId="58" borderId="72" xfId="7" applyFont="1" applyFill="1" applyBorder="1" applyProtection="1"/>
    <xf numFmtId="0" fontId="31" fillId="58" borderId="78" xfId="0" applyFont="1" applyFill="1" applyBorder="1" applyProtection="1"/>
    <xf numFmtId="0" fontId="31" fillId="58" borderId="27" xfId="0" applyFont="1" applyFill="1" applyBorder="1" applyProtection="1"/>
    <xf numFmtId="0" fontId="41" fillId="58" borderId="70" xfId="0" applyFont="1" applyFill="1" applyBorder="1" applyProtection="1"/>
    <xf numFmtId="0" fontId="37" fillId="59" borderId="11" xfId="0" applyFont="1" applyFill="1" applyBorder="1" applyAlignment="1" applyProtection="1">
      <alignment horizontal="centerContinuous" vertical="center" wrapText="1"/>
    </xf>
    <xf numFmtId="0" fontId="37" fillId="59" borderId="122" xfId="0" applyFont="1" applyFill="1" applyBorder="1" applyAlignment="1" applyProtection="1">
      <alignment horizontal="centerContinuous" wrapText="1"/>
    </xf>
    <xf numFmtId="0" fontId="37" fillId="59" borderId="80" xfId="0" applyFont="1" applyFill="1" applyBorder="1" applyAlignment="1" applyProtection="1">
      <alignment horizontal="center" vertical="center" wrapText="1"/>
    </xf>
    <xf numFmtId="0" fontId="37" fillId="59" borderId="66" xfId="0" applyFont="1" applyFill="1" applyBorder="1" applyAlignment="1" applyProtection="1">
      <alignment wrapText="1"/>
    </xf>
    <xf numFmtId="0" fontId="37" fillId="59" borderId="76" xfId="0" applyFont="1" applyFill="1" applyBorder="1" applyAlignment="1" applyProtection="1">
      <alignment horizontal="center" wrapText="1"/>
    </xf>
    <xf numFmtId="0" fontId="37" fillId="59" borderId="69" xfId="0" applyFont="1" applyFill="1" applyBorder="1" applyAlignment="1" applyProtection="1">
      <alignment horizontal="center" wrapText="1"/>
    </xf>
    <xf numFmtId="0" fontId="37" fillId="59" borderId="78" xfId="0" applyFont="1" applyFill="1" applyBorder="1" applyAlignment="1" applyProtection="1">
      <alignment horizontal="center" wrapText="1"/>
    </xf>
    <xf numFmtId="0" fontId="37" fillId="59" borderId="35" xfId="0" applyFont="1" applyFill="1" applyBorder="1" applyAlignment="1" applyProtection="1">
      <alignment horizontal="center" wrapText="1"/>
    </xf>
    <xf numFmtId="0" fontId="37" fillId="59" borderId="35" xfId="0" applyFont="1" applyFill="1" applyBorder="1" applyAlignment="1" applyProtection="1">
      <alignment horizontal="center"/>
    </xf>
    <xf numFmtId="0" fontId="37" fillId="59" borderId="106" xfId="0" applyFont="1" applyFill="1" applyBorder="1" applyAlignment="1" applyProtection="1">
      <alignment horizontal="center" wrapText="1"/>
    </xf>
    <xf numFmtId="0" fontId="37" fillId="59" borderId="66" xfId="0" applyFont="1" applyFill="1" applyBorder="1" applyAlignment="1" applyProtection="1">
      <alignment horizontal="left"/>
    </xf>
    <xf numFmtId="0" fontId="37" fillId="59" borderId="71" xfId="0" applyFont="1" applyFill="1" applyBorder="1" applyAlignment="1" applyProtection="1">
      <alignment horizontal="left"/>
    </xf>
    <xf numFmtId="0" fontId="30" fillId="58" borderId="0" xfId="0" applyFont="1" applyFill="1"/>
    <xf numFmtId="0" fontId="38" fillId="58" borderId="35" xfId="0" applyFont="1" applyFill="1" applyBorder="1" applyAlignment="1" applyProtection="1">
      <alignment horizontal="left"/>
    </xf>
    <xf numFmtId="0" fontId="56" fillId="58" borderId="0" xfId="0" applyFont="1" applyFill="1" applyBorder="1" applyAlignment="1" applyProtection="1">
      <alignment horizontal="left"/>
    </xf>
    <xf numFmtId="0" fontId="37" fillId="59" borderId="66" xfId="0" applyFont="1" applyFill="1" applyBorder="1" applyAlignment="1" applyProtection="1">
      <alignment horizontal="centerContinuous" vertical="top" wrapText="1"/>
    </xf>
    <xf numFmtId="0" fontId="31" fillId="59" borderId="69" xfId="0" applyFont="1" applyFill="1" applyBorder="1" applyAlignment="1" applyProtection="1">
      <alignment horizontal="centerContinuous"/>
    </xf>
    <xf numFmtId="0" fontId="37" fillId="59" borderId="98" xfId="0" applyFont="1" applyFill="1" applyBorder="1" applyAlignment="1" applyProtection="1">
      <alignment horizontal="centerContinuous"/>
    </xf>
    <xf numFmtId="0" fontId="37" fillId="59" borderId="19" xfId="0" applyFont="1" applyFill="1" applyBorder="1" applyAlignment="1" applyProtection="1">
      <alignment horizontal="centerContinuous"/>
    </xf>
    <xf numFmtId="0" fontId="37" fillId="59" borderId="82" xfId="0" applyFont="1" applyFill="1" applyBorder="1" applyAlignment="1" applyProtection="1">
      <alignment horizontal="centerContinuous"/>
    </xf>
    <xf numFmtId="0" fontId="37" fillId="59" borderId="1" xfId="0" applyFont="1" applyFill="1" applyBorder="1" applyAlignment="1" applyProtection="1">
      <alignment vertical="center" wrapText="1"/>
    </xf>
    <xf numFmtId="0" fontId="37" fillId="59" borderId="87" xfId="0" applyFont="1" applyFill="1" applyBorder="1" applyAlignment="1" applyProtection="1">
      <alignment horizontal="center" wrapText="1"/>
    </xf>
    <xf numFmtId="0" fontId="37" fillId="59" borderId="88" xfId="0" applyFont="1" applyFill="1" applyBorder="1" applyAlignment="1" applyProtection="1">
      <alignment horizontal="center" vertical="center" wrapText="1"/>
    </xf>
    <xf numFmtId="0" fontId="37" fillId="59" borderId="98" xfId="0" applyFont="1" applyFill="1" applyBorder="1" applyAlignment="1" applyProtection="1">
      <alignment horizontal="center" wrapText="1"/>
    </xf>
    <xf numFmtId="0" fontId="37" fillId="59" borderId="82" xfId="0" applyFont="1" applyFill="1" applyBorder="1" applyAlignment="1" applyProtection="1">
      <alignment horizontal="center" wrapText="1"/>
    </xf>
    <xf numFmtId="0" fontId="37" fillId="59" borderId="37" xfId="0" applyFont="1" applyFill="1" applyBorder="1" applyAlignment="1" applyProtection="1">
      <alignment horizontal="center" vertical="center"/>
    </xf>
    <xf numFmtId="0" fontId="37" fillId="59" borderId="30" xfId="0" applyFont="1" applyFill="1" applyBorder="1" applyAlignment="1" applyProtection="1">
      <alignment horizontal="center" vertical="center"/>
    </xf>
    <xf numFmtId="0" fontId="37" fillId="59" borderId="88" xfId="0" applyFont="1" applyFill="1" applyBorder="1" applyAlignment="1" applyProtection="1">
      <alignment horizontal="center" vertical="center"/>
    </xf>
    <xf numFmtId="0" fontId="41" fillId="58" borderId="75" xfId="0" applyFont="1" applyFill="1" applyBorder="1" applyAlignment="1" applyProtection="1">
      <alignment wrapText="1"/>
    </xf>
    <xf numFmtId="0" fontId="31" fillId="58" borderId="53" xfId="0" applyFont="1" applyFill="1" applyBorder="1" applyAlignment="1" applyProtection="1">
      <alignment horizontal="center"/>
    </xf>
    <xf numFmtId="0" fontId="28" fillId="58" borderId="53" xfId="0" applyFont="1" applyFill="1" applyBorder="1" applyAlignment="1" applyProtection="1">
      <alignment horizontal="center"/>
    </xf>
    <xf numFmtId="0" fontId="31" fillId="58" borderId="83" xfId="0" applyFont="1" applyFill="1" applyBorder="1" applyAlignment="1" applyProtection="1">
      <alignment horizontal="center"/>
    </xf>
    <xf numFmtId="0" fontId="37" fillId="59" borderId="108" xfId="0" applyFont="1" applyFill="1" applyBorder="1" applyAlignment="1" applyProtection="1">
      <alignment horizontal="right"/>
    </xf>
    <xf numFmtId="0" fontId="28" fillId="59" borderId="107" xfId="0" applyFont="1" applyFill="1" applyBorder="1" applyAlignment="1" applyProtection="1">
      <alignment horizontal="center"/>
    </xf>
    <xf numFmtId="3" fontId="37" fillId="59" borderId="109" xfId="0" applyNumberFormat="1" applyFont="1" applyFill="1" applyBorder="1" applyAlignment="1" applyProtection="1">
      <alignment horizontal="center"/>
    </xf>
    <xf numFmtId="3" fontId="37" fillId="59" borderId="107" xfId="0" applyNumberFormat="1" applyFont="1" applyFill="1" applyBorder="1" applyAlignment="1" applyProtection="1">
      <alignment horizontal="center"/>
    </xf>
    <xf numFmtId="3" fontId="37" fillId="59" borderId="110" xfId="0" applyNumberFormat="1" applyFont="1" applyFill="1" applyBorder="1" applyAlignment="1" applyProtection="1">
      <alignment horizontal="center"/>
    </xf>
    <xf numFmtId="3" fontId="37" fillId="59" borderId="112" xfId="0" applyNumberFormat="1" applyFont="1" applyFill="1" applyBorder="1" applyAlignment="1" applyProtection="1">
      <alignment horizontal="center"/>
    </xf>
    <xf numFmtId="0" fontId="37" fillId="59" borderId="108" xfId="0" applyFont="1" applyFill="1" applyBorder="1" applyAlignment="1" applyProtection="1">
      <alignment horizontal="right" wrapText="1"/>
    </xf>
    <xf numFmtId="0" fontId="37" fillId="59" borderId="108" xfId="0" applyFont="1" applyFill="1" applyBorder="1" applyAlignment="1" applyProtection="1">
      <alignment wrapText="1"/>
    </xf>
    <xf numFmtId="0" fontId="37" fillId="59" borderId="107" xfId="0" applyFont="1" applyFill="1" applyBorder="1" applyAlignment="1" applyProtection="1">
      <alignment horizontal="center"/>
    </xf>
    <xf numFmtId="0" fontId="37" fillId="59" borderId="22" xfId="0" applyFont="1" applyFill="1" applyBorder="1" applyAlignment="1" applyProtection="1">
      <alignment wrapText="1"/>
    </xf>
    <xf numFmtId="0" fontId="28" fillId="59" borderId="23" xfId="0" applyFont="1" applyFill="1" applyBorder="1" applyAlignment="1" applyProtection="1">
      <alignment horizontal="center"/>
    </xf>
    <xf numFmtId="3" fontId="28" fillId="59" borderId="23" xfId="0" applyNumberFormat="1" applyFont="1" applyFill="1" applyBorder="1" applyAlignment="1" applyProtection="1">
      <alignment horizontal="center"/>
    </xf>
    <xf numFmtId="3" fontId="28" fillId="59" borderId="84" xfId="0" applyNumberFormat="1" applyFont="1" applyFill="1" applyBorder="1" applyAlignment="1" applyProtection="1">
      <alignment horizontal="center"/>
    </xf>
    <xf numFmtId="0" fontId="37" fillId="59" borderId="101" xfId="0" applyFont="1" applyFill="1" applyBorder="1" applyAlignment="1" applyProtection="1">
      <alignment horizontal="left"/>
    </xf>
    <xf numFmtId="0" fontId="37" fillId="59" borderId="95" xfId="0" applyFont="1" applyFill="1" applyBorder="1" applyAlignment="1" applyProtection="1">
      <alignment horizontal="center"/>
    </xf>
    <xf numFmtId="3" fontId="37" fillId="59" borderId="96" xfId="0" applyNumberFormat="1" applyFont="1" applyFill="1" applyBorder="1" applyAlignment="1" applyProtection="1">
      <alignment horizontal="center"/>
    </xf>
    <xf numFmtId="3" fontId="37" fillId="59" borderId="95" xfId="0" applyNumberFormat="1" applyFont="1" applyFill="1" applyBorder="1" applyAlignment="1" applyProtection="1">
      <alignment horizontal="center"/>
    </xf>
    <xf numFmtId="3" fontId="37" fillId="59" borderId="94" xfId="0" applyNumberFormat="1" applyFont="1" applyFill="1" applyBorder="1" applyAlignment="1" applyProtection="1">
      <alignment horizontal="center"/>
    </xf>
    <xf numFmtId="3" fontId="37" fillId="59" borderId="111" xfId="0" applyNumberFormat="1" applyFont="1" applyFill="1" applyBorder="1" applyAlignment="1" applyProtection="1">
      <alignment horizontal="center"/>
    </xf>
    <xf numFmtId="0" fontId="37" fillId="59" borderId="2" xfId="0" applyFont="1" applyFill="1" applyBorder="1" applyAlignment="1" applyProtection="1">
      <alignment horizontal="left"/>
    </xf>
    <xf numFmtId="0" fontId="37" fillId="59" borderId="27" xfId="0" applyFont="1" applyFill="1" applyBorder="1" applyAlignment="1" applyProtection="1">
      <alignment horizontal="center"/>
    </xf>
    <xf numFmtId="3" fontId="37" fillId="59" borderId="39" xfId="0" applyNumberFormat="1" applyFont="1" applyFill="1" applyBorder="1" applyAlignment="1" applyProtection="1">
      <alignment horizontal="center"/>
    </xf>
    <xf numFmtId="3" fontId="37" fillId="59" borderId="27" xfId="0" applyNumberFormat="1" applyFont="1" applyFill="1" applyBorder="1" applyAlignment="1" applyProtection="1">
      <alignment horizontal="center"/>
    </xf>
    <xf numFmtId="3" fontId="37" fillId="59" borderId="7" xfId="0" applyNumberFormat="1" applyFont="1" applyFill="1" applyBorder="1" applyAlignment="1" applyProtection="1">
      <alignment horizontal="center"/>
    </xf>
    <xf numFmtId="3" fontId="37" fillId="59" borderId="18" xfId="0" applyNumberFormat="1" applyFont="1" applyFill="1" applyBorder="1" applyAlignment="1" applyProtection="1">
      <alignment horizontal="center"/>
    </xf>
    <xf numFmtId="0" fontId="37" fillId="59" borderId="4" xfId="0" applyFont="1" applyFill="1" applyBorder="1" applyAlignment="1" applyProtection="1">
      <alignment horizontal="left"/>
    </xf>
    <xf numFmtId="0" fontId="37" fillId="59" borderId="28" xfId="0" applyFont="1" applyFill="1" applyBorder="1" applyAlignment="1" applyProtection="1">
      <alignment horizontal="center"/>
    </xf>
    <xf numFmtId="3" fontId="37" fillId="59" borderId="49" xfId="0" applyNumberFormat="1" applyFont="1" applyFill="1" applyBorder="1" applyAlignment="1" applyProtection="1">
      <alignment horizontal="center"/>
    </xf>
    <xf numFmtId="3" fontId="37" fillId="59" borderId="28" xfId="0" applyNumberFormat="1" applyFont="1" applyFill="1" applyBorder="1" applyAlignment="1" applyProtection="1">
      <alignment horizontal="center"/>
    </xf>
    <xf numFmtId="3" fontId="37" fillId="59" borderId="103" xfId="0" applyNumberFormat="1" applyFont="1" applyFill="1" applyBorder="1" applyAlignment="1" applyProtection="1">
      <alignment horizontal="center"/>
    </xf>
    <xf numFmtId="3" fontId="37" fillId="59" borderId="21" xfId="0" applyNumberFormat="1" applyFont="1" applyFill="1" applyBorder="1" applyAlignment="1" applyProtection="1">
      <alignment horizontal="center"/>
    </xf>
    <xf numFmtId="0" fontId="37" fillId="59" borderId="102" xfId="0" applyFont="1" applyFill="1" applyBorder="1" applyAlignment="1" applyProtection="1">
      <alignment horizontal="center" wrapText="1"/>
    </xf>
    <xf numFmtId="0" fontId="37" fillId="59" borderId="87" xfId="0" applyFont="1" applyFill="1" applyBorder="1" applyAlignment="1" applyProtection="1">
      <alignment horizontal="center" vertical="center"/>
    </xf>
    <xf numFmtId="0" fontId="41" fillId="58" borderId="22" xfId="0" applyFont="1" applyFill="1" applyBorder="1" applyAlignment="1" applyProtection="1">
      <alignment wrapText="1"/>
    </xf>
    <xf numFmtId="0" fontId="31" fillId="58" borderId="23" xfId="0" applyFont="1" applyFill="1" applyBorder="1" applyAlignment="1" applyProtection="1">
      <alignment horizontal="center"/>
    </xf>
    <xf numFmtId="0" fontId="28" fillId="58" borderId="23" xfId="0" applyFont="1" applyFill="1" applyBorder="1" applyAlignment="1" applyProtection="1">
      <alignment horizontal="center"/>
    </xf>
    <xf numFmtId="0" fontId="31" fillId="58" borderId="84" xfId="0" applyFont="1" applyFill="1" applyBorder="1" applyAlignment="1" applyProtection="1">
      <alignment horizontal="center"/>
    </xf>
    <xf numFmtId="0" fontId="37" fillId="59" borderId="108" xfId="0" applyFont="1" applyFill="1" applyBorder="1" applyAlignment="1" applyProtection="1">
      <alignment horizontal="left"/>
    </xf>
    <xf numFmtId="0" fontId="37" fillId="59" borderId="4" xfId="0" applyFont="1" applyFill="1" applyBorder="1" applyAlignment="1" applyProtection="1">
      <alignment horizontal="left" wrapText="1"/>
    </xf>
    <xf numFmtId="3" fontId="37" fillId="59" borderId="100" xfId="0" applyNumberFormat="1" applyFont="1" applyFill="1" applyBorder="1" applyAlignment="1" applyProtection="1">
      <alignment horizontal="center"/>
    </xf>
    <xf numFmtId="3" fontId="37" fillId="59" borderId="130" xfId="0" applyNumberFormat="1" applyFont="1" applyFill="1" applyBorder="1" applyAlignment="1" applyProtection="1">
      <alignment horizontal="center"/>
    </xf>
    <xf numFmtId="0" fontId="37" fillId="59" borderId="114" xfId="0" applyFont="1" applyFill="1" applyBorder="1" applyAlignment="1" applyProtection="1">
      <alignment horizontal="left"/>
    </xf>
    <xf numFmtId="0" fontId="28" fillId="59" borderId="113" xfId="0" applyFont="1" applyFill="1" applyBorder="1" applyAlignment="1" applyProtection="1">
      <alignment horizontal="center"/>
    </xf>
    <xf numFmtId="3" fontId="37" fillId="59" borderId="115" xfId="0" applyNumberFormat="1" applyFont="1" applyFill="1" applyBorder="1" applyAlignment="1" applyProtection="1">
      <alignment horizontal="center"/>
    </xf>
    <xf numFmtId="3" fontId="37" fillId="59" borderId="113" xfId="0" applyNumberFormat="1" applyFont="1" applyFill="1" applyBorder="1" applyAlignment="1" applyProtection="1">
      <alignment horizontal="center"/>
    </xf>
    <xf numFmtId="3" fontId="37" fillId="59" borderId="116" xfId="0" applyNumberFormat="1" applyFont="1" applyFill="1" applyBorder="1" applyAlignment="1" applyProtection="1">
      <alignment horizontal="center"/>
    </xf>
    <xf numFmtId="3" fontId="37" fillId="59" borderId="117" xfId="0" applyNumberFormat="1" applyFont="1" applyFill="1" applyBorder="1" applyAlignment="1" applyProtection="1">
      <alignment horizontal="center"/>
    </xf>
    <xf numFmtId="3" fontId="31" fillId="58" borderId="23" xfId="0" applyNumberFormat="1" applyFont="1" applyFill="1" applyBorder="1" applyAlignment="1" applyProtection="1">
      <alignment horizontal="center"/>
    </xf>
    <xf numFmtId="3" fontId="31" fillId="58" borderId="84" xfId="0" applyNumberFormat="1" applyFont="1" applyFill="1" applyBorder="1" applyAlignment="1" applyProtection="1">
      <alignment horizontal="center"/>
    </xf>
    <xf numFmtId="0" fontId="37" fillId="59" borderId="114" xfId="0" applyFont="1" applyFill="1" applyBorder="1" applyAlignment="1" applyProtection="1">
      <alignment horizontal="right"/>
    </xf>
    <xf numFmtId="3" fontId="37" fillId="59" borderId="6" xfId="0" applyNumberFormat="1" applyFont="1" applyFill="1" applyBorder="1" applyAlignment="1" applyProtection="1">
      <alignment horizontal="center"/>
    </xf>
    <xf numFmtId="0" fontId="41" fillId="58" borderId="1" xfId="0" applyFont="1" applyFill="1" applyBorder="1" applyAlignment="1" applyProtection="1">
      <alignment wrapText="1"/>
    </xf>
    <xf numFmtId="0" fontId="31" fillId="58" borderId="8" xfId="0" applyFont="1" applyFill="1" applyBorder="1" applyAlignment="1" applyProtection="1">
      <alignment horizontal="center"/>
    </xf>
    <xf numFmtId="3" fontId="31" fillId="58" borderId="8" xfId="0" applyNumberFormat="1" applyFont="1" applyFill="1" applyBorder="1" applyAlignment="1" applyProtection="1">
      <alignment horizontal="center"/>
    </xf>
    <xf numFmtId="3" fontId="31" fillId="58" borderId="9" xfId="0" applyNumberFormat="1" applyFont="1" applyFill="1" applyBorder="1" applyAlignment="1" applyProtection="1">
      <alignment horizontal="center"/>
    </xf>
    <xf numFmtId="0" fontId="37" fillId="59" borderId="42" xfId="0" applyFont="1" applyFill="1" applyBorder="1" applyAlignment="1" applyProtection="1">
      <alignment horizontal="right"/>
    </xf>
    <xf numFmtId="0" fontId="28" fillId="59" borderId="118" xfId="0" applyFont="1" applyFill="1" applyBorder="1" applyAlignment="1" applyProtection="1">
      <alignment horizontal="center"/>
    </xf>
    <xf numFmtId="3" fontId="37" fillId="59" borderId="119" xfId="0" applyNumberFormat="1" applyFont="1" applyFill="1" applyBorder="1" applyAlignment="1" applyProtection="1">
      <alignment horizontal="center"/>
    </xf>
    <xf numFmtId="3" fontId="37" fillId="59" borderId="13" xfId="0" applyNumberFormat="1" applyFont="1" applyFill="1" applyBorder="1" applyAlignment="1" applyProtection="1">
      <alignment horizontal="center"/>
    </xf>
    <xf numFmtId="3" fontId="37" fillId="59" borderId="43" xfId="0" applyNumberFormat="1" applyFont="1" applyFill="1" applyBorder="1" applyAlignment="1" applyProtection="1">
      <alignment horizontal="center"/>
    </xf>
    <xf numFmtId="0" fontId="37" fillId="59" borderId="129" xfId="0" applyFont="1" applyFill="1" applyBorder="1" applyAlignment="1" applyProtection="1">
      <alignment horizontal="left"/>
    </xf>
    <xf numFmtId="0" fontId="37" fillId="59" borderId="120" xfId="0" applyFont="1" applyFill="1" applyBorder="1" applyAlignment="1" applyProtection="1">
      <alignment horizontal="center"/>
    </xf>
    <xf numFmtId="3" fontId="37" fillId="59" borderId="45" xfId="0" applyNumberFormat="1" applyFont="1" applyFill="1" applyBorder="1" applyAlignment="1" applyProtection="1">
      <alignment horizontal="center"/>
    </xf>
    <xf numFmtId="3" fontId="37" fillId="59" borderId="120" xfId="0" applyNumberFormat="1" applyFont="1" applyFill="1" applyBorder="1" applyAlignment="1" applyProtection="1">
      <alignment horizontal="center"/>
    </xf>
    <xf numFmtId="3" fontId="37" fillId="59" borderId="44" xfId="0" applyNumberFormat="1" applyFont="1" applyFill="1" applyBorder="1" applyAlignment="1" applyProtection="1">
      <alignment horizontal="center"/>
    </xf>
    <xf numFmtId="0" fontId="37" fillId="59" borderId="46" xfId="0" applyFont="1" applyFill="1" applyBorder="1" applyAlignment="1" applyProtection="1">
      <alignment horizontal="left" wrapText="1" indent="2"/>
    </xf>
    <xf numFmtId="0" fontId="37" fillId="59" borderId="78" xfId="0" applyFont="1" applyFill="1" applyBorder="1" applyAlignment="1" applyProtection="1">
      <alignment horizontal="center"/>
    </xf>
    <xf numFmtId="3" fontId="37" fillId="59" borderId="41" xfId="0" applyNumberFormat="1" applyFont="1" applyFill="1" applyBorder="1" applyAlignment="1" applyProtection="1">
      <alignment horizontal="center"/>
    </xf>
    <xf numFmtId="3" fontId="37" fillId="59" borderId="78" xfId="0" applyNumberFormat="1" applyFont="1" applyFill="1" applyBorder="1" applyAlignment="1" applyProtection="1">
      <alignment horizontal="center"/>
    </xf>
    <xf numFmtId="3" fontId="37" fillId="59" borderId="35" xfId="0" applyNumberFormat="1" applyFont="1" applyFill="1" applyBorder="1" applyAlignment="1" applyProtection="1">
      <alignment horizontal="center"/>
    </xf>
    <xf numFmtId="0" fontId="37" fillId="59" borderId="72" xfId="0" applyFont="1" applyFill="1" applyBorder="1" applyAlignment="1" applyProtection="1">
      <alignment horizontal="left" wrapText="1" indent="2"/>
    </xf>
    <xf numFmtId="0" fontId="37" fillId="59" borderId="71" xfId="0" applyFont="1" applyFill="1" applyBorder="1" applyAlignment="1" applyProtection="1">
      <alignment horizontal="center"/>
    </xf>
    <xf numFmtId="3" fontId="37" fillId="59" borderId="71" xfId="0" applyNumberFormat="1" applyFont="1" applyFill="1" applyBorder="1" applyAlignment="1" applyProtection="1">
      <alignment horizontal="center"/>
    </xf>
    <xf numFmtId="0" fontId="37" fillId="59" borderId="66" xfId="0" applyFont="1" applyFill="1" applyBorder="1" applyAlignment="1" applyProtection="1">
      <alignment horizontal="centerContinuous" vertical="center"/>
    </xf>
    <xf numFmtId="0" fontId="37" fillId="59" borderId="76" xfId="0" applyFont="1" applyFill="1" applyBorder="1" applyAlignment="1" applyProtection="1">
      <alignment horizontal="centerContinuous" vertical="center"/>
    </xf>
    <xf numFmtId="0" fontId="37" fillId="59" borderId="69" xfId="0" applyFont="1" applyFill="1" applyBorder="1" applyAlignment="1" applyProtection="1">
      <alignment horizontal="centerContinuous" vertical="center"/>
    </xf>
    <xf numFmtId="0" fontId="37" fillId="59" borderId="24" xfId="0" applyFont="1" applyFill="1" applyBorder="1" applyProtection="1"/>
    <xf numFmtId="0" fontId="31" fillId="58" borderId="67" xfId="0" applyFont="1" applyFill="1" applyBorder="1" applyAlignment="1" applyProtection="1">
      <alignment horizontal="center" vertical="center"/>
    </xf>
    <xf numFmtId="3" fontId="31" fillId="58" borderId="75" xfId="0" applyNumberFormat="1" applyFont="1" applyFill="1" applyBorder="1" applyAlignment="1" applyProtection="1">
      <alignment horizontal="center" vertical="center"/>
    </xf>
    <xf numFmtId="3" fontId="31" fillId="58" borderId="53" xfId="0" applyNumberFormat="1" applyFont="1" applyFill="1" applyBorder="1" applyAlignment="1" applyProtection="1">
      <alignment horizontal="center" vertical="center"/>
    </xf>
    <xf numFmtId="3" fontId="31" fillId="58" borderId="83" xfId="0" applyNumberFormat="1" applyFont="1" applyFill="1" applyBorder="1" applyAlignment="1" applyProtection="1">
      <alignment horizontal="center" vertical="center"/>
    </xf>
    <xf numFmtId="0" fontId="31" fillId="58" borderId="85" xfId="0" applyFont="1" applyFill="1" applyBorder="1" applyProtection="1"/>
    <xf numFmtId="0" fontId="31" fillId="58" borderId="75" xfId="0" applyFont="1" applyFill="1" applyBorder="1" applyAlignment="1" applyProtection="1">
      <alignment horizontal="center" vertical="center"/>
    </xf>
    <xf numFmtId="3" fontId="31" fillId="58" borderId="83" xfId="0" applyNumberFormat="1" applyFont="1" applyFill="1" applyBorder="1" applyAlignment="1" applyProtection="1">
      <alignment horizontal="center"/>
    </xf>
    <xf numFmtId="3" fontId="41" fillId="58" borderId="53" xfId="0" applyNumberFormat="1" applyFont="1" applyFill="1" applyBorder="1" applyAlignment="1" applyProtection="1">
      <alignment horizontal="center" vertical="center"/>
    </xf>
    <xf numFmtId="0" fontId="37" fillId="59" borderId="26" xfId="0" applyFont="1" applyFill="1" applyBorder="1" applyAlignment="1" applyProtection="1">
      <alignment horizontal="left"/>
    </xf>
    <xf numFmtId="0" fontId="37" fillId="59" borderId="98" xfId="0" applyFont="1" applyFill="1" applyBorder="1" applyAlignment="1" applyProtection="1">
      <alignment horizontal="centerContinuous" vertical="top" wrapText="1"/>
    </xf>
    <xf numFmtId="0" fontId="31" fillId="59" borderId="82" xfId="0" applyFont="1" applyFill="1" applyBorder="1" applyAlignment="1" applyProtection="1">
      <alignment horizontal="centerContinuous"/>
    </xf>
    <xf numFmtId="0" fontId="37" fillId="59" borderId="98" xfId="0" applyFont="1" applyFill="1" applyBorder="1" applyAlignment="1" applyProtection="1">
      <alignment horizontal="centerContinuous" vertical="center"/>
    </xf>
    <xf numFmtId="0" fontId="37" fillId="59" borderId="19" xfId="0" applyFont="1" applyFill="1" applyBorder="1" applyAlignment="1" applyProtection="1">
      <alignment horizontal="centerContinuous" vertical="center"/>
    </xf>
    <xf numFmtId="0" fontId="37" fillId="59" borderId="82" xfId="0" applyFont="1" applyFill="1" applyBorder="1" applyAlignment="1" applyProtection="1">
      <alignment horizontal="centerContinuous" vertical="center"/>
    </xf>
    <xf numFmtId="0" fontId="37" fillId="59" borderId="22" xfId="0" applyFont="1" applyFill="1" applyBorder="1" applyProtection="1"/>
    <xf numFmtId="0" fontId="37" fillId="59" borderId="98" xfId="0" applyFont="1" applyFill="1" applyBorder="1" applyAlignment="1" applyProtection="1">
      <alignment horizontal="center" vertical="center" wrapText="1"/>
    </xf>
    <xf numFmtId="0" fontId="37" fillId="59" borderId="19" xfId="0" applyFont="1" applyFill="1" applyBorder="1" applyAlignment="1" applyProtection="1">
      <alignment horizontal="center" wrapText="1"/>
    </xf>
    <xf numFmtId="0" fontId="31" fillId="58" borderId="67" xfId="0" applyFont="1" applyFill="1" applyBorder="1" applyAlignment="1" applyProtection="1">
      <alignment horizontal="left" vertical="center"/>
    </xf>
    <xf numFmtId="3" fontId="37" fillId="59" borderId="15" xfId="0" applyNumberFormat="1" applyFont="1" applyFill="1" applyBorder="1" applyAlignment="1" applyProtection="1">
      <alignment horizontal="center"/>
    </xf>
    <xf numFmtId="0" fontId="31" fillId="58" borderId="11" xfId="0" applyFont="1" applyFill="1" applyBorder="1" applyProtection="1"/>
    <xf numFmtId="0" fontId="31" fillId="58" borderId="10" xfId="0" applyFont="1" applyFill="1" applyBorder="1" applyProtection="1"/>
    <xf numFmtId="0" fontId="31" fillId="58" borderId="17" xfId="0" applyFont="1" applyFill="1" applyBorder="1" applyProtection="1"/>
    <xf numFmtId="0" fontId="37" fillId="59" borderId="1" xfId="0" applyFont="1" applyFill="1" applyBorder="1" applyProtection="1"/>
    <xf numFmtId="0" fontId="37" fillId="59" borderId="8" xfId="0" applyFont="1" applyFill="1" applyBorder="1" applyProtection="1"/>
    <xf numFmtId="0" fontId="37" fillId="59" borderId="1" xfId="0" applyFont="1" applyFill="1" applyBorder="1" applyAlignment="1" applyProtection="1">
      <alignment horizontal="center" wrapText="1"/>
    </xf>
    <xf numFmtId="0" fontId="37" fillId="59" borderId="104" xfId="0" applyFont="1" applyFill="1" applyBorder="1" applyAlignment="1" applyProtection="1">
      <alignment horizontal="centerContinuous" vertical="center"/>
    </xf>
    <xf numFmtId="0" fontId="37" fillId="59" borderId="2" xfId="0" applyFont="1" applyFill="1" applyBorder="1" applyProtection="1"/>
    <xf numFmtId="0" fontId="37" fillId="59" borderId="0" xfId="0" applyFont="1" applyFill="1" applyBorder="1" applyProtection="1"/>
    <xf numFmtId="0" fontId="37" fillId="59" borderId="2" xfId="0" applyFont="1" applyFill="1" applyBorder="1" applyAlignment="1" applyProtection="1">
      <alignment horizontal="center" wrapText="1"/>
    </xf>
    <xf numFmtId="0" fontId="37" fillId="59" borderId="39" xfId="0" applyFont="1" applyFill="1" applyBorder="1" applyAlignment="1" applyProtection="1">
      <alignment horizontal="center" wrapText="1"/>
    </xf>
    <xf numFmtId="0" fontId="37" fillId="59" borderId="37" xfId="0" applyFont="1" applyFill="1" applyBorder="1" applyAlignment="1" applyProtection="1">
      <alignment horizontal="center" wrapText="1"/>
    </xf>
    <xf numFmtId="0" fontId="37" fillId="59" borderId="30" xfId="0" applyFont="1" applyFill="1" applyBorder="1" applyAlignment="1" applyProtection="1">
      <alignment horizontal="center" wrapText="1"/>
    </xf>
    <xf numFmtId="0" fontId="37" fillId="59" borderId="88" xfId="0" applyFont="1" applyFill="1" applyBorder="1" applyAlignment="1" applyProtection="1">
      <alignment horizontal="center" wrapText="1"/>
    </xf>
    <xf numFmtId="3" fontId="37" fillId="59" borderId="72" xfId="0" applyNumberFormat="1" applyFont="1" applyFill="1" applyBorder="1" applyAlignment="1" applyProtection="1">
      <alignment horizontal="left"/>
    </xf>
    <xf numFmtId="3" fontId="37" fillId="59" borderId="73" xfId="0" applyNumberFormat="1" applyFont="1" applyFill="1" applyBorder="1" applyAlignment="1" applyProtection="1">
      <alignment horizontal="center"/>
    </xf>
    <xf numFmtId="3" fontId="37" fillId="59" borderId="72" xfId="0" applyNumberFormat="1" applyFont="1" applyFill="1" applyBorder="1" applyAlignment="1" applyProtection="1">
      <alignment horizontal="center"/>
    </xf>
    <xf numFmtId="3" fontId="37" fillId="59" borderId="105" xfId="0" applyNumberFormat="1" applyFont="1" applyFill="1" applyBorder="1" applyAlignment="1" applyProtection="1">
      <alignment horizontal="center"/>
    </xf>
    <xf numFmtId="0" fontId="37" fillId="59" borderId="30" xfId="0" applyFont="1" applyFill="1" applyBorder="1" applyAlignment="1" applyProtection="1">
      <alignment horizontal="left" vertical="center"/>
    </xf>
    <xf numFmtId="0" fontId="37" fillId="59" borderId="34" xfId="0" applyFont="1" applyFill="1" applyBorder="1" applyAlignment="1" applyProtection="1">
      <alignment horizontal="left" vertical="center"/>
    </xf>
    <xf numFmtId="0" fontId="37" fillId="59" borderId="53" xfId="0" applyFont="1" applyFill="1" applyBorder="1" applyAlignment="1" applyProtection="1">
      <alignment horizontal="left" vertical="center"/>
    </xf>
    <xf numFmtId="0" fontId="37" fillId="59" borderId="54" xfId="0" applyFont="1" applyFill="1" applyBorder="1" applyAlignment="1" applyProtection="1">
      <alignment horizontal="left" vertical="center"/>
    </xf>
    <xf numFmtId="0" fontId="30" fillId="58" borderId="0" xfId="0" applyFont="1" applyFill="1" applyAlignment="1">
      <alignment horizontal="center"/>
    </xf>
    <xf numFmtId="0" fontId="86" fillId="58" borderId="0" xfId="0" applyFont="1" applyFill="1" applyAlignment="1">
      <alignment vertical="top"/>
    </xf>
    <xf numFmtId="0" fontId="58" fillId="58" borderId="0" xfId="0" applyFont="1" applyFill="1" applyAlignment="1">
      <alignment horizontal="right"/>
    </xf>
    <xf numFmtId="0" fontId="0" fillId="58" borderId="0" xfId="0" applyFill="1" applyBorder="1" applyAlignment="1">
      <alignment horizontal="left"/>
    </xf>
    <xf numFmtId="0" fontId="0" fillId="58" borderId="0" xfId="0" applyFill="1" applyBorder="1"/>
    <xf numFmtId="0" fontId="86" fillId="58" borderId="0" xfId="0" applyFont="1" applyFill="1"/>
    <xf numFmtId="0" fontId="86" fillId="58" borderId="0" xfId="0" applyFont="1" applyFill="1" applyAlignment="1">
      <alignment horizontal="left"/>
    </xf>
    <xf numFmtId="0" fontId="90" fillId="58" borderId="0" xfId="0" applyFont="1" applyFill="1" applyAlignment="1">
      <alignment horizontal="right" wrapText="1"/>
    </xf>
    <xf numFmtId="0" fontId="90" fillId="58" borderId="0" xfId="0" applyFont="1" applyFill="1" applyBorder="1" applyAlignment="1">
      <alignment horizontal="right" wrapText="1"/>
    </xf>
    <xf numFmtId="0" fontId="16" fillId="58" borderId="0" xfId="0" applyFont="1" applyFill="1" applyBorder="1" applyAlignment="1">
      <alignment horizontal="center" wrapText="1"/>
    </xf>
    <xf numFmtId="0" fontId="22" fillId="58" borderId="0" xfId="0" applyFont="1" applyFill="1" applyBorder="1" applyAlignment="1">
      <alignment horizontal="center" wrapText="1"/>
    </xf>
    <xf numFmtId="0" fontId="16" fillId="58" borderId="0" xfId="0" applyFont="1" applyFill="1" applyBorder="1" applyAlignment="1">
      <alignment horizontal="right" wrapText="1"/>
    </xf>
    <xf numFmtId="0" fontId="16" fillId="58" borderId="0" xfId="0" applyFont="1" applyFill="1" applyBorder="1" applyAlignment="1">
      <alignment horizontal="center"/>
    </xf>
    <xf numFmtId="3" fontId="0" fillId="58" borderId="0" xfId="0" applyNumberFormat="1" applyFill="1" applyBorder="1" applyAlignment="1">
      <alignment horizontal="center"/>
    </xf>
    <xf numFmtId="0" fontId="27" fillId="59" borderId="1" xfId="0" applyFont="1" applyFill="1" applyBorder="1" applyAlignment="1">
      <alignment horizontal="left"/>
    </xf>
    <xf numFmtId="0" fontId="28" fillId="59" borderId="8" xfId="0" applyFont="1" applyFill="1" applyBorder="1" applyAlignment="1">
      <alignment horizontal="center"/>
    </xf>
    <xf numFmtId="0" fontId="28" fillId="59" borderId="8" xfId="0" applyFont="1" applyFill="1" applyBorder="1"/>
    <xf numFmtId="0" fontId="28" fillId="59" borderId="9" xfId="0" applyFont="1" applyFill="1" applyBorder="1"/>
    <xf numFmtId="0" fontId="31" fillId="4" borderId="0" xfId="0" applyFont="1" applyFill="1" applyBorder="1" applyAlignment="1" applyProtection="1">
      <alignment horizontal="left" vertical="top" wrapText="1"/>
    </xf>
    <xf numFmtId="0" fontId="55" fillId="58" borderId="0" xfId="0" applyFont="1" applyFill="1" applyBorder="1" applyAlignment="1" applyProtection="1">
      <alignment horizontal="center"/>
    </xf>
    <xf numFmtId="0" fontId="41" fillId="4" borderId="0" xfId="0" applyFont="1" applyFill="1" applyBorder="1" applyAlignment="1" applyProtection="1">
      <alignment horizontal="right" wrapText="1"/>
    </xf>
    <xf numFmtId="0" fontId="31" fillId="58" borderId="0" xfId="0" applyFont="1" applyFill="1" applyBorder="1" applyAlignment="1" applyProtection="1">
      <alignment horizontal="left" vertical="top" wrapText="1"/>
    </xf>
    <xf numFmtId="0" fontId="37" fillId="59" borderId="34" xfId="0" applyFont="1" applyFill="1" applyBorder="1" applyAlignment="1" applyProtection="1">
      <alignment horizontal="center" vertical="center" wrapText="1"/>
    </xf>
    <xf numFmtId="0" fontId="37" fillId="59" borderId="54" xfId="0" applyFont="1" applyFill="1" applyBorder="1" applyAlignment="1" applyProtection="1">
      <alignment horizontal="center" vertical="center" wrapText="1"/>
    </xf>
    <xf numFmtId="0" fontId="37" fillId="59" borderId="1" xfId="0" applyFont="1" applyFill="1" applyBorder="1" applyAlignment="1" applyProtection="1">
      <alignment horizontal="center" vertical="center" wrapText="1"/>
    </xf>
    <xf numFmtId="0" fontId="31" fillId="4" borderId="0" xfId="0" applyFont="1" applyFill="1" applyAlignment="1" applyProtection="1">
      <alignment horizontal="left" vertical="top" wrapText="1"/>
    </xf>
    <xf numFmtId="0" fontId="47" fillId="4" borderId="0" xfId="0" applyFont="1" applyFill="1" applyBorder="1" applyAlignment="1" applyProtection="1">
      <alignment horizontal="left" wrapText="1"/>
    </xf>
    <xf numFmtId="0" fontId="58" fillId="0" borderId="70" xfId="0" applyFont="1" applyBorder="1" applyAlignment="1">
      <alignment horizontal="right"/>
    </xf>
    <xf numFmtId="0" fontId="58" fillId="0" borderId="0" xfId="0" applyFont="1" applyAlignment="1">
      <alignment horizontal="right"/>
    </xf>
    <xf numFmtId="0" fontId="16" fillId="6" borderId="33" xfId="0" applyFont="1" applyFill="1" applyBorder="1" applyAlignment="1">
      <alignment horizontal="center" wrapText="1"/>
    </xf>
    <xf numFmtId="0" fontId="16" fillId="6" borderId="70" xfId="0" applyFont="1" applyFill="1" applyBorder="1" applyAlignment="1">
      <alignment horizontal="center" wrapText="1"/>
    </xf>
    <xf numFmtId="0" fontId="58" fillId="0" borderId="0" xfId="0" applyFont="1" applyAlignment="1">
      <alignment horizontal="right" wrapText="1"/>
    </xf>
    <xf numFmtId="0" fontId="28" fillId="59" borderId="0" xfId="0" applyFont="1" applyFill="1" applyAlignment="1" applyProtection="1">
      <alignment horizontal="left"/>
    </xf>
    <xf numFmtId="0" fontId="42" fillId="4" borderId="0" xfId="0" applyFont="1" applyFill="1" applyAlignment="1" applyProtection="1"/>
    <xf numFmtId="0" fontId="42" fillId="4" borderId="0" xfId="0" applyFont="1" applyFill="1" applyAlignment="1" applyProtection="1">
      <alignment horizontal="left"/>
    </xf>
    <xf numFmtId="0" fontId="31" fillId="4" borderId="0" xfId="0" applyFont="1" applyFill="1" applyAlignment="1" applyProtection="1">
      <alignment vertical="top" wrapText="1"/>
    </xf>
    <xf numFmtId="0" fontId="42" fillId="0" borderId="0" xfId="0" applyFont="1" applyFill="1" applyAlignment="1" applyProtection="1"/>
    <xf numFmtId="0" fontId="42" fillId="0" borderId="0" xfId="0" applyFont="1" applyFill="1" applyAlignment="1" applyProtection="1">
      <alignment horizontal="left"/>
    </xf>
    <xf numFmtId="0" fontId="42" fillId="0" borderId="0" xfId="0" applyFont="1" applyFill="1" applyAlignment="1" applyProtection="1">
      <alignment horizontal="center"/>
    </xf>
    <xf numFmtId="0" fontId="31" fillId="0" borderId="0" xfId="0" applyFont="1" applyFill="1" applyBorder="1" applyProtection="1"/>
    <xf numFmtId="0" fontId="31" fillId="0" borderId="0" xfId="0" applyFont="1" applyFill="1" applyBorder="1" applyAlignment="1" applyProtection="1">
      <alignment horizontal="center" wrapText="1"/>
    </xf>
    <xf numFmtId="0" fontId="55" fillId="58" borderId="0" xfId="0" applyFont="1" applyFill="1" applyBorder="1" applyAlignment="1" applyProtection="1"/>
    <xf numFmtId="0" fontId="55" fillId="58" borderId="0" xfId="0" applyFont="1" applyFill="1" applyBorder="1" applyAlignment="1" applyProtection="1">
      <alignment horizontal="left"/>
    </xf>
    <xf numFmtId="0" fontId="55" fillId="58" borderId="0" xfId="0" applyFont="1" applyFill="1" applyBorder="1" applyAlignment="1" applyProtection="1">
      <alignment wrapText="1"/>
    </xf>
    <xf numFmtId="0" fontId="33" fillId="4" borderId="0" xfId="0" applyFont="1" applyFill="1" applyBorder="1" applyAlignment="1" applyProtection="1"/>
    <xf numFmtId="0" fontId="41" fillId="4" borderId="0" xfId="0" applyFont="1" applyFill="1" applyBorder="1" applyAlignment="1" applyProtection="1">
      <alignment wrapText="1"/>
    </xf>
    <xf numFmtId="0" fontId="41" fillId="4" borderId="0" xfId="0" applyFont="1" applyFill="1" applyBorder="1" applyAlignment="1" applyProtection="1">
      <alignment horizontal="center" wrapText="1"/>
    </xf>
    <xf numFmtId="0" fontId="98" fillId="4" borderId="0" xfId="0" applyFont="1" applyFill="1" applyBorder="1" applyAlignment="1" applyProtection="1"/>
    <xf numFmtId="0" fontId="42" fillId="4" borderId="0" xfId="0" applyFont="1" applyFill="1" applyBorder="1" applyAlignment="1" applyProtection="1"/>
    <xf numFmtId="0" fontId="42" fillId="4" borderId="0" xfId="0" applyFont="1" applyFill="1" applyBorder="1" applyAlignment="1" applyProtection="1">
      <alignment horizontal="left"/>
    </xf>
    <xf numFmtId="0" fontId="41" fillId="4" borderId="0" xfId="0" applyFont="1" applyFill="1" applyBorder="1" applyAlignment="1" applyProtection="1">
      <alignment horizontal="right"/>
    </xf>
    <xf numFmtId="0" fontId="83" fillId="4" borderId="0" xfId="0" applyFont="1" applyFill="1" applyAlignment="1" applyProtection="1"/>
    <xf numFmtId="0" fontId="38" fillId="4" borderId="0" xfId="0" applyFont="1" applyFill="1" applyAlignment="1" applyProtection="1">
      <alignment horizontal="center"/>
    </xf>
    <xf numFmtId="0" fontId="31" fillId="4" borderId="0" xfId="0" applyFont="1" applyFill="1" applyBorder="1" applyAlignment="1" applyProtection="1">
      <alignment horizontal="left" vertical="center"/>
    </xf>
    <xf numFmtId="0" fontId="34" fillId="4" borderId="0" xfId="0" applyFont="1" applyFill="1" applyAlignment="1" applyProtection="1"/>
    <xf numFmtId="0" fontId="57" fillId="4" borderId="0" xfId="0" applyFont="1" applyFill="1" applyProtection="1"/>
    <xf numFmtId="0" fontId="34" fillId="4" borderId="0" xfId="0" applyFont="1" applyFill="1" applyAlignment="1" applyProtection="1">
      <alignment horizontal="left"/>
    </xf>
    <xf numFmtId="0" fontId="35" fillId="4" borderId="0" xfId="0" applyFont="1" applyFill="1" applyAlignment="1" applyProtection="1"/>
    <xf numFmtId="0" fontId="37" fillId="59" borderId="76" xfId="0" applyFont="1" applyFill="1" applyBorder="1" applyAlignment="1" applyProtection="1">
      <alignment horizontal="center"/>
    </xf>
    <xf numFmtId="0" fontId="31" fillId="7" borderId="132" xfId="0" applyFont="1" applyFill="1" applyBorder="1" applyAlignment="1" applyProtection="1">
      <alignment horizontal="center"/>
    </xf>
    <xf numFmtId="0" fontId="31" fillId="7" borderId="133" xfId="0" applyFont="1" applyFill="1" applyBorder="1" applyAlignment="1" applyProtection="1">
      <alignment horizontal="left" wrapText="1"/>
    </xf>
    <xf numFmtId="14" fontId="41" fillId="7" borderId="68" xfId="0" applyNumberFormat="1" applyFont="1" applyFill="1" applyBorder="1" applyAlignment="1" applyProtection="1">
      <alignment horizontal="center" wrapText="1"/>
    </xf>
    <xf numFmtId="0" fontId="47" fillId="4" borderId="0" xfId="0" applyFont="1" applyFill="1" applyAlignment="1" applyProtection="1">
      <alignment horizontal="left"/>
    </xf>
    <xf numFmtId="0" fontId="38" fillId="4" borderId="0" xfId="0" applyFont="1" applyFill="1" applyAlignment="1" applyProtection="1"/>
    <xf numFmtId="0" fontId="33" fillId="58" borderId="70" xfId="0" applyFont="1" applyFill="1" applyBorder="1" applyAlignment="1" applyProtection="1">
      <alignment horizontal="center"/>
    </xf>
    <xf numFmtId="0" fontId="31" fillId="9" borderId="70" xfId="0" applyFont="1" applyFill="1" applyBorder="1" applyAlignment="1" applyProtection="1">
      <alignment horizontal="center" vertical="top"/>
    </xf>
    <xf numFmtId="0" fontId="31" fillId="9" borderId="71" xfId="0" applyFont="1" applyFill="1" applyBorder="1" applyAlignment="1" applyProtection="1">
      <alignment horizontal="center" vertical="top"/>
    </xf>
    <xf numFmtId="0" fontId="29" fillId="60" borderId="0" xfId="0" applyFont="1" applyFill="1" applyBorder="1" applyAlignment="1" applyProtection="1"/>
    <xf numFmtId="0" fontId="55" fillId="60" borderId="0" xfId="0" applyFont="1" applyFill="1" applyBorder="1" applyAlignment="1" applyProtection="1"/>
    <xf numFmtId="0" fontId="55" fillId="60" borderId="0" xfId="0" applyFont="1" applyFill="1" applyBorder="1" applyAlignment="1" applyProtection="1">
      <alignment horizontal="left"/>
    </xf>
    <xf numFmtId="0" fontId="55" fillId="60" borderId="0" xfId="0" applyFont="1" applyFill="1" applyBorder="1" applyAlignment="1" applyProtection="1">
      <alignment horizontal="center"/>
    </xf>
    <xf numFmtId="0" fontId="55" fillId="60" borderId="0" xfId="0" applyFont="1" applyFill="1" applyBorder="1" applyAlignment="1" applyProtection="1">
      <alignment wrapText="1"/>
    </xf>
    <xf numFmtId="0" fontId="55" fillId="60" borderId="0" xfId="0" applyFont="1" applyFill="1" applyBorder="1" applyAlignment="1" applyProtection="1">
      <alignment horizontal="center" wrapText="1"/>
    </xf>
    <xf numFmtId="0" fontId="42" fillId="60" borderId="0" xfId="0" applyFont="1" applyFill="1" applyProtection="1"/>
    <xf numFmtId="0" fontId="56" fillId="4" borderId="53" xfId="0" applyFont="1" applyFill="1" applyBorder="1" applyAlignment="1" applyProtection="1"/>
    <xf numFmtId="0" fontId="42" fillId="4" borderId="53" xfId="0" applyFont="1" applyFill="1" applyBorder="1" applyAlignment="1" applyProtection="1">
      <alignment horizontal="left"/>
    </xf>
    <xf numFmtId="0" fontId="42" fillId="4" borderId="53" xfId="0" applyFont="1" applyFill="1" applyBorder="1" applyAlignment="1" applyProtection="1"/>
    <xf numFmtId="0" fontId="42" fillId="4" borderId="53" xfId="0" applyFont="1" applyFill="1" applyBorder="1" applyAlignment="1" applyProtection="1">
      <alignment horizontal="center"/>
    </xf>
    <xf numFmtId="0" fontId="42" fillId="4" borderId="53" xfId="0" applyFont="1" applyFill="1" applyBorder="1" applyProtection="1"/>
    <xf numFmtId="0" fontId="73" fillId="4" borderId="0" xfId="0" applyFont="1" applyFill="1" applyAlignment="1" applyProtection="1"/>
    <xf numFmtId="0" fontId="47" fillId="4" borderId="0" xfId="0" applyFont="1" applyFill="1" applyAlignment="1" applyProtection="1"/>
    <xf numFmtId="0" fontId="47" fillId="4" borderId="0" xfId="0" applyFont="1" applyFill="1" applyAlignment="1" applyProtection="1">
      <alignment horizontal="center"/>
    </xf>
    <xf numFmtId="0" fontId="129" fillId="0" borderId="0" xfId="0" applyFont="1" applyAlignment="1" applyProtection="1">
      <alignment vertical="center"/>
    </xf>
    <xf numFmtId="0" fontId="42" fillId="4" borderId="24" xfId="0" applyFont="1" applyFill="1" applyBorder="1" applyAlignment="1" applyProtection="1">
      <alignment horizontal="left"/>
    </xf>
    <xf numFmtId="0" fontId="28" fillId="4" borderId="0" xfId="0" applyFont="1" applyFill="1" applyBorder="1" applyAlignment="1" applyProtection="1">
      <alignment horizontal="left"/>
    </xf>
    <xf numFmtId="0" fontId="31" fillId="10" borderId="85" xfId="0" applyFont="1" applyFill="1" applyBorder="1" applyAlignment="1" applyProtection="1">
      <alignment horizontal="right"/>
    </xf>
    <xf numFmtId="0" fontId="31" fillId="10" borderId="75" xfId="0" applyFont="1" applyFill="1" applyBorder="1" applyAlignment="1" applyProtection="1">
      <alignment horizontal="center"/>
    </xf>
    <xf numFmtId="0" fontId="31" fillId="0" borderId="34" xfId="0" applyFont="1" applyFill="1" applyBorder="1" applyAlignment="1" applyProtection="1">
      <alignment horizontal="left"/>
    </xf>
    <xf numFmtId="0" fontId="31" fillId="0" borderId="53" xfId="0" applyFont="1" applyFill="1" applyBorder="1" applyAlignment="1" applyProtection="1">
      <alignment horizontal="left"/>
    </xf>
    <xf numFmtId="0" fontId="31" fillId="0" borderId="83" xfId="0" applyFont="1" applyFill="1" applyBorder="1" applyAlignment="1" applyProtection="1">
      <alignment horizontal="left"/>
    </xf>
    <xf numFmtId="0" fontId="31" fillId="10" borderId="70" xfId="0" applyFont="1" applyFill="1" applyBorder="1" applyAlignment="1" applyProtection="1">
      <alignment horizontal="center"/>
    </xf>
    <xf numFmtId="0" fontId="37" fillId="59" borderId="70" xfId="0" applyFont="1" applyFill="1" applyBorder="1" applyAlignment="1" applyProtection="1">
      <alignment horizontal="center"/>
    </xf>
    <xf numFmtId="0" fontId="41" fillId="58" borderId="30" xfId="0" applyFont="1" applyFill="1" applyBorder="1" applyAlignment="1" applyProtection="1">
      <alignment horizontal="center"/>
    </xf>
    <xf numFmtId="0" fontId="37" fillId="59" borderId="70" xfId="0" applyFont="1" applyFill="1" applyBorder="1" applyAlignment="1" applyProtection="1">
      <alignment horizontal="center" vertical="center"/>
    </xf>
    <xf numFmtId="0" fontId="37" fillId="59" borderId="33" xfId="0" applyFont="1" applyFill="1" applyBorder="1" applyAlignment="1" applyProtection="1">
      <alignment horizontal="center" vertical="center"/>
    </xf>
    <xf numFmtId="0" fontId="41" fillId="58" borderId="18" xfId="0" applyFont="1" applyFill="1" applyBorder="1" applyAlignment="1" applyProtection="1">
      <alignment horizontal="center" vertical="center" wrapText="1"/>
    </xf>
    <xf numFmtId="0" fontId="37" fillId="4" borderId="0" xfId="0" applyFont="1" applyFill="1" applyBorder="1" applyAlignment="1" applyProtection="1">
      <alignment vertical="center"/>
    </xf>
    <xf numFmtId="0" fontId="31" fillId="10" borderId="86" xfId="0" applyFont="1" applyFill="1" applyBorder="1" applyAlignment="1" applyProtection="1">
      <alignment horizontal="right"/>
    </xf>
    <xf numFmtId="0" fontId="31" fillId="10" borderId="87" xfId="0" applyFont="1" applyFill="1" applyBorder="1" applyAlignment="1" applyProtection="1">
      <alignment horizontal="center"/>
    </xf>
    <xf numFmtId="0" fontId="31" fillId="0" borderId="31" xfId="0" applyFont="1" applyFill="1" applyBorder="1" applyAlignment="1" applyProtection="1">
      <alignment horizontal="left"/>
    </xf>
    <xf numFmtId="0" fontId="31" fillId="0" borderId="32" xfId="0" applyFont="1" applyFill="1" applyBorder="1" applyAlignment="1" applyProtection="1">
      <alignment horizontal="left"/>
    </xf>
    <xf numFmtId="0" fontId="31" fillId="0" borderId="89" xfId="0" applyFont="1" applyFill="1" applyBorder="1" applyAlignment="1" applyProtection="1">
      <alignment horizontal="left"/>
    </xf>
    <xf numFmtId="0" fontId="41" fillId="4" borderId="0" xfId="0" applyFont="1" applyFill="1" applyBorder="1" applyAlignment="1" applyProtection="1">
      <alignment vertical="center"/>
    </xf>
    <xf numFmtId="0" fontId="38" fillId="58" borderId="70" xfId="0" applyFont="1" applyFill="1" applyBorder="1" applyAlignment="1" applyProtection="1">
      <alignment horizontal="center" vertical="center" wrapText="1"/>
    </xf>
    <xf numFmtId="0" fontId="31" fillId="58" borderId="33" xfId="0" applyFont="1" applyFill="1" applyBorder="1" applyAlignment="1" applyProtection="1">
      <alignment horizontal="center" vertical="center" wrapText="1"/>
    </xf>
    <xf numFmtId="0" fontId="38" fillId="58" borderId="33" xfId="0" applyFont="1" applyFill="1" applyBorder="1" applyAlignment="1" applyProtection="1">
      <alignment horizontal="center" vertical="center" wrapText="1"/>
    </xf>
    <xf numFmtId="0" fontId="31" fillId="58" borderId="18" xfId="0" applyFont="1" applyFill="1" applyBorder="1" applyAlignment="1" applyProtection="1">
      <alignment horizontal="center" vertical="center" wrapText="1"/>
    </xf>
    <xf numFmtId="0" fontId="28" fillId="4" borderId="0" xfId="0" applyFont="1" applyFill="1" applyBorder="1" applyAlignment="1" applyProtection="1">
      <alignment horizontal="center" vertical="center" wrapText="1"/>
    </xf>
    <xf numFmtId="0" fontId="31" fillId="58" borderId="16" xfId="0" applyFont="1" applyFill="1" applyBorder="1" applyAlignment="1" applyProtection="1">
      <alignment horizontal="center" vertical="center" wrapText="1"/>
    </xf>
    <xf numFmtId="0" fontId="42" fillId="58" borderId="79" xfId="0" applyFont="1" applyFill="1" applyBorder="1" applyAlignment="1" applyProtection="1">
      <alignment horizontal="center" vertical="center" wrapText="1"/>
    </xf>
    <xf numFmtId="0" fontId="42" fillId="58" borderId="20" xfId="0" applyFont="1" applyFill="1" applyBorder="1" applyAlignment="1" applyProtection="1">
      <alignment horizontal="center" vertical="center" wrapText="1"/>
    </xf>
    <xf numFmtId="0" fontId="104" fillId="58" borderId="20" xfId="0" applyFont="1" applyFill="1" applyBorder="1" applyAlignment="1" applyProtection="1">
      <alignment horizontal="center" vertical="center" wrapText="1"/>
    </xf>
    <xf numFmtId="0" fontId="105" fillId="58" borderId="80" xfId="0" applyFont="1" applyFill="1" applyBorder="1" applyAlignment="1" applyProtection="1">
      <alignment horizontal="center" vertical="center" wrapText="1"/>
    </xf>
    <xf numFmtId="0" fontId="107" fillId="58" borderId="79" xfId="0" applyFont="1" applyFill="1" applyBorder="1" applyAlignment="1" applyProtection="1">
      <alignment horizontal="center" vertical="center" wrapText="1"/>
    </xf>
    <xf numFmtId="0" fontId="108" fillId="58" borderId="80" xfId="0" applyFont="1" applyFill="1" applyBorder="1" applyAlignment="1" applyProtection="1">
      <alignment horizontal="center" vertical="center" wrapText="1"/>
    </xf>
    <xf numFmtId="0" fontId="31" fillId="4" borderId="0" xfId="0" applyFont="1" applyFill="1" applyBorder="1" applyAlignment="1" applyProtection="1">
      <alignment horizontal="center" vertical="center" wrapText="1"/>
    </xf>
    <xf numFmtId="0" fontId="31" fillId="9" borderId="70" xfId="0" applyFont="1" applyFill="1" applyBorder="1" applyAlignment="1" applyProtection="1">
      <alignment horizontal="center"/>
    </xf>
    <xf numFmtId="0" fontId="31" fillId="58" borderId="33" xfId="0" applyFont="1" applyFill="1" applyBorder="1" applyAlignment="1" applyProtection="1">
      <alignment horizontal="center"/>
    </xf>
    <xf numFmtId="3" fontId="31" fillId="58" borderId="33" xfId="0" applyNumberFormat="1" applyFont="1" applyFill="1" applyBorder="1" applyAlignment="1" applyProtection="1">
      <alignment horizontal="center"/>
    </xf>
    <xf numFmtId="3" fontId="31" fillId="9" borderId="33" xfId="0" applyNumberFormat="1" applyFont="1" applyFill="1" applyBorder="1" applyAlignment="1" applyProtection="1">
      <alignment horizontal="center"/>
    </xf>
    <xf numFmtId="0" fontId="31" fillId="58" borderId="18" xfId="0" applyFont="1" applyFill="1" applyBorder="1" applyProtection="1"/>
    <xf numFmtId="0" fontId="28" fillId="4" borderId="0" xfId="0" applyFont="1" applyFill="1" applyBorder="1" applyProtection="1"/>
    <xf numFmtId="0" fontId="31" fillId="4" borderId="90" xfId="0" applyFont="1" applyFill="1" applyBorder="1" applyAlignment="1" applyProtection="1">
      <alignment horizontal="left"/>
    </xf>
    <xf numFmtId="2" fontId="31" fillId="4" borderId="78" xfId="0" applyNumberFormat="1" applyFont="1" applyFill="1" applyBorder="1" applyAlignment="1" applyProtection="1">
      <alignment horizontal="center"/>
    </xf>
    <xf numFmtId="2" fontId="31" fillId="4" borderId="35" xfId="0" applyNumberFormat="1" applyFont="1" applyFill="1" applyBorder="1" applyAlignment="1" applyProtection="1">
      <alignment horizontal="center"/>
    </xf>
    <xf numFmtId="1" fontId="31" fillId="4" borderId="41" xfId="0" applyNumberFormat="1" applyFont="1" applyFill="1" applyBorder="1" applyAlignment="1" applyProtection="1">
      <alignment horizontal="center"/>
    </xf>
    <xf numFmtId="3" fontId="31" fillId="4" borderId="78" xfId="0" applyNumberFormat="1" applyFont="1" applyFill="1" applyBorder="1" applyAlignment="1" applyProtection="1">
      <alignment horizontal="center"/>
    </xf>
    <xf numFmtId="3" fontId="31" fillId="4" borderId="35" xfId="0" applyNumberFormat="1" applyFont="1" applyFill="1" applyBorder="1" applyAlignment="1" applyProtection="1">
      <alignment horizontal="center"/>
    </xf>
    <xf numFmtId="165" fontId="31" fillId="4" borderId="78" xfId="0" applyNumberFormat="1" applyFont="1" applyFill="1" applyBorder="1" applyAlignment="1" applyProtection="1">
      <alignment horizontal="center"/>
    </xf>
    <xf numFmtId="165" fontId="31" fillId="4" borderId="35" xfId="0" applyNumberFormat="1" applyFont="1" applyFill="1" applyBorder="1" applyAlignment="1" applyProtection="1">
      <alignment horizontal="center"/>
    </xf>
    <xf numFmtId="0" fontId="31" fillId="4" borderId="78" xfId="0" applyFont="1" applyFill="1" applyBorder="1" applyAlignment="1" applyProtection="1">
      <alignment horizontal="center"/>
    </xf>
    <xf numFmtId="0" fontId="31" fillId="4" borderId="35" xfId="0" applyFont="1" applyFill="1" applyBorder="1" applyAlignment="1" applyProtection="1">
      <alignment horizontal="center"/>
    </xf>
    <xf numFmtId="3" fontId="31" fillId="4" borderId="41" xfId="0" applyNumberFormat="1" applyFont="1" applyFill="1" applyBorder="1" applyAlignment="1" applyProtection="1">
      <alignment horizontal="center"/>
    </xf>
    <xf numFmtId="0" fontId="31" fillId="4" borderId="85" xfId="0" applyFont="1" applyFill="1" applyBorder="1" applyAlignment="1" applyProtection="1">
      <alignment horizontal="left"/>
    </xf>
    <xf numFmtId="2" fontId="31" fillId="4" borderId="33" xfId="0" applyNumberFormat="1" applyFont="1" applyFill="1" applyBorder="1" applyAlignment="1" applyProtection="1">
      <alignment horizontal="center"/>
    </xf>
    <xf numFmtId="1" fontId="31" fillId="4" borderId="67" xfId="0" applyNumberFormat="1" applyFont="1" applyFill="1" applyBorder="1" applyAlignment="1" applyProtection="1">
      <alignment horizontal="center"/>
    </xf>
    <xf numFmtId="3" fontId="31" fillId="4" borderId="70" xfId="0" applyNumberFormat="1" applyFont="1" applyFill="1" applyBorder="1" applyAlignment="1" applyProtection="1">
      <alignment horizontal="center"/>
    </xf>
    <xf numFmtId="165" fontId="31" fillId="4" borderId="70" xfId="0" applyNumberFormat="1" applyFont="1" applyFill="1" applyBorder="1" applyAlignment="1" applyProtection="1">
      <alignment horizontal="center"/>
    </xf>
    <xf numFmtId="165" fontId="31" fillId="4" borderId="33" xfId="0" applyNumberFormat="1" applyFont="1" applyFill="1" applyBorder="1" applyAlignment="1" applyProtection="1">
      <alignment horizontal="center"/>
    </xf>
    <xf numFmtId="0" fontId="31" fillId="4" borderId="70" xfId="0" applyFont="1" applyFill="1" applyBorder="1" applyAlignment="1" applyProtection="1">
      <alignment horizontal="center"/>
    </xf>
    <xf numFmtId="3" fontId="31" fillId="4" borderId="67" xfId="0" applyNumberFormat="1" applyFont="1" applyFill="1" applyBorder="1" applyAlignment="1" applyProtection="1">
      <alignment horizontal="center"/>
    </xf>
    <xf numFmtId="0" fontId="31" fillId="9" borderId="53" xfId="0" applyFont="1" applyFill="1" applyBorder="1" applyAlignment="1" applyProtection="1">
      <alignment horizontal="center"/>
    </xf>
    <xf numFmtId="3" fontId="31" fillId="9" borderId="54" xfId="0" applyNumberFormat="1" applyFont="1" applyFill="1" applyBorder="1" applyAlignment="1" applyProtection="1">
      <alignment horizontal="center"/>
    </xf>
    <xf numFmtId="3" fontId="31" fillId="10" borderId="55" xfId="0" applyNumberFormat="1" applyFont="1" applyFill="1" applyBorder="1" applyAlignment="1" applyProtection="1">
      <alignment horizontal="center"/>
    </xf>
    <xf numFmtId="3" fontId="31" fillId="10" borderId="96" xfId="0" applyNumberFormat="1" applyFont="1" applyFill="1" applyBorder="1" applyAlignment="1" applyProtection="1">
      <alignment horizontal="center"/>
    </xf>
    <xf numFmtId="0" fontId="31" fillId="4" borderId="86" xfId="0" applyFont="1" applyFill="1" applyBorder="1" applyAlignment="1" applyProtection="1">
      <alignment horizontal="left"/>
    </xf>
    <xf numFmtId="2" fontId="31" fillId="4" borderId="30" xfId="0" applyNumberFormat="1" applyFont="1" applyFill="1" applyBorder="1" applyAlignment="1" applyProtection="1">
      <alignment horizontal="center"/>
    </xf>
    <xf numFmtId="1" fontId="31" fillId="4" borderId="88" xfId="0" applyNumberFormat="1" applyFont="1" applyFill="1" applyBorder="1" applyAlignment="1" applyProtection="1">
      <alignment horizontal="center"/>
    </xf>
    <xf numFmtId="3" fontId="31" fillId="4" borderId="87" xfId="0" applyNumberFormat="1" applyFont="1" applyFill="1" applyBorder="1" applyAlignment="1" applyProtection="1">
      <alignment horizontal="center"/>
    </xf>
    <xf numFmtId="3" fontId="31" fillId="4" borderId="30" xfId="0" applyNumberFormat="1" applyFont="1" applyFill="1" applyBorder="1" applyAlignment="1" applyProtection="1">
      <alignment horizontal="center"/>
    </xf>
    <xf numFmtId="165" fontId="31" fillId="4" borderId="87" xfId="0" applyNumberFormat="1" applyFont="1" applyFill="1" applyBorder="1" applyAlignment="1" applyProtection="1">
      <alignment horizontal="center"/>
    </xf>
    <xf numFmtId="165" fontId="31" fillId="4" borderId="30" xfId="0" applyNumberFormat="1" applyFont="1" applyFill="1" applyBorder="1" applyAlignment="1" applyProtection="1">
      <alignment horizontal="center"/>
    </xf>
    <xf numFmtId="0" fontId="31" fillId="4" borderId="87" xfId="0" applyFont="1" applyFill="1" applyBorder="1" applyAlignment="1" applyProtection="1">
      <alignment horizontal="center"/>
    </xf>
    <xf numFmtId="0" fontId="31" fillId="4" borderId="30" xfId="0" applyFont="1" applyFill="1" applyBorder="1" applyAlignment="1" applyProtection="1">
      <alignment horizontal="center"/>
    </xf>
    <xf numFmtId="3" fontId="31" fillId="4" borderId="88" xfId="0" applyNumberFormat="1" applyFont="1" applyFill="1" applyBorder="1" applyAlignment="1" applyProtection="1">
      <alignment horizontal="center"/>
    </xf>
    <xf numFmtId="0" fontId="31" fillId="58" borderId="77" xfId="0" applyFont="1" applyFill="1" applyBorder="1" applyAlignment="1" applyProtection="1">
      <alignment horizontal="center"/>
    </xf>
    <xf numFmtId="3" fontId="41" fillId="5" borderId="21" xfId="0" applyNumberFormat="1" applyFont="1" applyFill="1" applyBorder="1" applyAlignment="1" applyProtection="1">
      <alignment horizontal="center"/>
    </xf>
    <xf numFmtId="0" fontId="41" fillId="58" borderId="81" xfId="0" applyFont="1" applyFill="1" applyBorder="1" applyAlignment="1" applyProtection="1">
      <alignment horizontal="center"/>
    </xf>
    <xf numFmtId="0" fontId="31" fillId="58" borderId="73" xfId="0" applyFont="1" applyFill="1" applyBorder="1" applyAlignment="1" applyProtection="1">
      <alignment horizontal="center"/>
    </xf>
    <xf numFmtId="0" fontId="41" fillId="58" borderId="105" xfId="0" applyFont="1" applyFill="1" applyBorder="1" applyAlignment="1" applyProtection="1">
      <alignment horizontal="center"/>
    </xf>
    <xf numFmtId="3" fontId="41" fillId="10" borderId="49" xfId="0" applyNumberFormat="1" applyFont="1" applyFill="1" applyBorder="1" applyAlignment="1" applyProtection="1">
      <alignment horizontal="center"/>
    </xf>
    <xf numFmtId="0" fontId="41" fillId="4" borderId="16" xfId="0" applyFont="1" applyFill="1" applyBorder="1" applyAlignment="1" applyProtection="1">
      <alignment horizontal="left"/>
    </xf>
    <xf numFmtId="3" fontId="41" fillId="4" borderId="79" xfId="0" applyNumberFormat="1" applyFont="1" applyFill="1" applyBorder="1" applyAlignment="1" applyProtection="1">
      <alignment horizontal="center"/>
    </xf>
    <xf numFmtId="3" fontId="41" fillId="4" borderId="20" xfId="0" applyNumberFormat="1" applyFont="1" applyFill="1" applyBorder="1" applyAlignment="1" applyProtection="1">
      <alignment horizontal="center"/>
    </xf>
    <xf numFmtId="3" fontId="41" fillId="4" borderId="80" xfId="0" applyNumberFormat="1" applyFont="1" applyFill="1" applyBorder="1" applyAlignment="1" applyProtection="1">
      <alignment horizontal="center"/>
    </xf>
    <xf numFmtId="0" fontId="99" fillId="4" borderId="0" xfId="0" applyFont="1" applyFill="1" applyBorder="1" applyAlignment="1" applyProtection="1"/>
    <xf numFmtId="0" fontId="42" fillId="4" borderId="0" xfId="0" applyFont="1" applyFill="1" applyBorder="1" applyAlignment="1" applyProtection="1">
      <alignment horizontal="center"/>
    </xf>
    <xf numFmtId="0" fontId="59" fillId="4" borderId="0" xfId="0" applyFont="1" applyFill="1" applyBorder="1" applyProtection="1"/>
    <xf numFmtId="0" fontId="56" fillId="58" borderId="11" xfId="0" applyFont="1" applyFill="1" applyBorder="1" applyAlignment="1" applyProtection="1"/>
    <xf numFmtId="0" fontId="56" fillId="58" borderId="10" xfId="0" applyFont="1" applyFill="1" applyBorder="1" applyAlignment="1" applyProtection="1"/>
    <xf numFmtId="0" fontId="42" fillId="58" borderId="17" xfId="0" applyFont="1" applyFill="1" applyBorder="1" applyAlignment="1" applyProtection="1">
      <alignment horizontal="left"/>
    </xf>
    <xf numFmtId="0" fontId="42" fillId="58" borderId="10" xfId="0" applyFont="1" applyFill="1" applyBorder="1" applyProtection="1"/>
    <xf numFmtId="0" fontId="42" fillId="58" borderId="10" xfId="0" applyFont="1" applyFill="1" applyBorder="1" applyAlignment="1" applyProtection="1">
      <alignment horizontal="center"/>
    </xf>
    <xf numFmtId="0" fontId="42" fillId="58" borderId="17" xfId="0" applyFont="1" applyFill="1" applyBorder="1" applyAlignment="1" applyProtection="1">
      <alignment horizontal="center"/>
    </xf>
    <xf numFmtId="0" fontId="59" fillId="4" borderId="0" xfId="0" applyFont="1" applyFill="1" applyProtection="1"/>
    <xf numFmtId="0" fontId="28" fillId="4" borderId="0" xfId="0" applyFont="1" applyFill="1" applyProtection="1"/>
    <xf numFmtId="0" fontId="83" fillId="4" borderId="0" xfId="0" applyFont="1" applyFill="1" applyAlignment="1" applyProtection="1">
      <alignment vertical="top"/>
    </xf>
    <xf numFmtId="0" fontId="41" fillId="4" borderId="0" xfId="0" applyFont="1" applyFill="1" applyAlignment="1" applyProtection="1">
      <alignment horizontal="right"/>
    </xf>
    <xf numFmtId="0" fontId="37" fillId="59" borderId="11" xfId="0" applyFont="1" applyFill="1" applyBorder="1" applyAlignment="1" applyProtection="1">
      <alignment horizontal="left"/>
    </xf>
    <xf numFmtId="0" fontId="37" fillId="59" borderId="10" xfId="0" applyFont="1" applyFill="1" applyBorder="1" applyAlignment="1" applyProtection="1">
      <alignment horizontal="left"/>
    </xf>
    <xf numFmtId="0" fontId="37" fillId="59" borderId="122" xfId="0" applyFont="1" applyFill="1" applyBorder="1" applyAlignment="1" applyProtection="1">
      <alignment horizontal="left"/>
    </xf>
    <xf numFmtId="0" fontId="37" fillId="59" borderId="80" xfId="0" applyFont="1" applyFill="1" applyBorder="1" applyAlignment="1" applyProtection="1">
      <alignment horizontal="center"/>
    </xf>
    <xf numFmtId="0" fontId="31" fillId="9" borderId="85" xfId="0" applyFont="1" applyFill="1" applyBorder="1" applyAlignment="1" applyProtection="1">
      <alignment horizontal="center"/>
    </xf>
    <xf numFmtId="0" fontId="31" fillId="9" borderId="46" xfId="0" applyFont="1" applyFill="1" applyBorder="1" applyAlignment="1" applyProtection="1">
      <alignment horizontal="left"/>
    </xf>
    <xf numFmtId="0" fontId="31" fillId="9" borderId="40" xfId="0" applyFont="1" applyFill="1" applyBorder="1" applyAlignment="1" applyProtection="1">
      <alignment horizontal="left"/>
    </xf>
    <xf numFmtId="0" fontId="31" fillId="9" borderId="47" xfId="0" applyFont="1" applyFill="1" applyBorder="1" applyAlignment="1" applyProtection="1">
      <alignment horizontal="left"/>
    </xf>
    <xf numFmtId="0" fontId="83" fillId="4" borderId="0" xfId="0" applyFont="1" applyFill="1" applyAlignment="1" applyProtection="1">
      <alignment wrapText="1"/>
    </xf>
    <xf numFmtId="0" fontId="41" fillId="10" borderId="4" xfId="0" applyFont="1" applyFill="1" applyBorder="1" applyAlignment="1" applyProtection="1">
      <alignment horizontal="left"/>
    </xf>
    <xf numFmtId="0" fontId="41" fillId="10" borderId="5" xfId="0" applyFont="1" applyFill="1" applyBorder="1" applyAlignment="1" applyProtection="1">
      <alignment horizontal="left"/>
    </xf>
    <xf numFmtId="0" fontId="41" fillId="10" borderId="103" xfId="0" applyFont="1" applyFill="1" applyBorder="1" applyAlignment="1" applyProtection="1">
      <alignment horizontal="left"/>
    </xf>
    <xf numFmtId="3" fontId="31" fillId="10" borderId="85" xfId="0" applyNumberFormat="1" applyFont="1" applyFill="1" applyBorder="1" applyAlignment="1" applyProtection="1">
      <alignment horizontal="center"/>
    </xf>
    <xf numFmtId="0" fontId="31" fillId="9" borderId="121" xfId="0" applyFont="1" applyFill="1" applyBorder="1" applyAlignment="1" applyProtection="1">
      <alignment horizontal="center"/>
    </xf>
    <xf numFmtId="0" fontId="57" fillId="4" borderId="0" xfId="0" applyFont="1" applyFill="1" applyAlignment="1" applyProtection="1"/>
    <xf numFmtId="0" fontId="55" fillId="0" borderId="0" xfId="0" applyFont="1" applyFill="1" applyBorder="1" applyAlignment="1" applyProtection="1"/>
    <xf numFmtId="0" fontId="55" fillId="0" borderId="0" xfId="0" applyFont="1" applyFill="1" applyBorder="1" applyAlignment="1" applyProtection="1">
      <alignment horizontal="left"/>
    </xf>
    <xf numFmtId="0" fontId="55" fillId="0" borderId="0" xfId="0" applyFont="1" applyFill="1" applyBorder="1" applyAlignment="1" applyProtection="1">
      <alignment horizontal="center" wrapText="1"/>
    </xf>
    <xf numFmtId="0" fontId="57" fillId="4" borderId="0" xfId="0" applyFont="1" applyFill="1" applyBorder="1" applyAlignment="1" applyProtection="1"/>
    <xf numFmtId="0" fontId="31" fillId="9" borderId="75" xfId="0" applyFont="1" applyFill="1" applyBorder="1" applyAlignment="1" applyProtection="1">
      <alignment horizontal="left"/>
    </xf>
    <xf numFmtId="0" fontId="31" fillId="9" borderId="53" xfId="0" applyFont="1" applyFill="1" applyBorder="1" applyAlignment="1" applyProtection="1">
      <alignment horizontal="left"/>
    </xf>
    <xf numFmtId="0" fontId="31" fillId="9" borderId="54" xfId="0" applyFont="1" applyFill="1" applyBorder="1" applyAlignment="1" applyProtection="1">
      <alignment horizontal="left"/>
    </xf>
    <xf numFmtId="0" fontId="41" fillId="10" borderId="28" xfId="0" applyFont="1" applyFill="1" applyBorder="1" applyAlignment="1" applyProtection="1">
      <alignment horizontal="left"/>
    </xf>
    <xf numFmtId="0" fontId="41" fillId="10" borderId="21" xfId="0" applyFont="1" applyFill="1" applyBorder="1" applyAlignment="1" applyProtection="1">
      <alignment horizontal="left"/>
    </xf>
    <xf numFmtId="0" fontId="32" fillId="58" borderId="0" xfId="0" applyFont="1" applyFill="1" applyBorder="1" applyAlignment="1" applyProtection="1">
      <alignment horizontal="center" wrapText="1"/>
    </xf>
    <xf numFmtId="0" fontId="130" fillId="58" borderId="0" xfId="0" applyFont="1" applyFill="1" applyProtection="1"/>
    <xf numFmtId="0" fontId="37" fillId="2" borderId="36" xfId="0" applyFont="1" applyFill="1" applyBorder="1" applyAlignment="1" applyProtection="1">
      <alignment horizontal="left" vertical="center"/>
    </xf>
    <xf numFmtId="0" fontId="37" fillId="2" borderId="36" xfId="0" applyFont="1" applyFill="1" applyBorder="1" applyAlignment="1" applyProtection="1">
      <alignment horizontal="centerContinuous" vertical="center"/>
    </xf>
    <xf numFmtId="0" fontId="37" fillId="59" borderId="66" xfId="5" applyFont="1" applyFill="1" applyBorder="1" applyAlignment="1" applyProtection="1">
      <alignment vertical="center" wrapText="1"/>
    </xf>
    <xf numFmtId="2" fontId="37" fillId="59" borderId="76" xfId="3" applyNumberFormat="1" applyFont="1" applyFill="1" applyBorder="1" applyAlignment="1" applyProtection="1">
      <alignment horizontal="center" vertical="center" wrapText="1"/>
    </xf>
    <xf numFmtId="2" fontId="37" fillId="59" borderId="69" xfId="3" applyNumberFormat="1" applyFont="1" applyFill="1" applyBorder="1" applyAlignment="1" applyProtection="1">
      <alignment horizontal="center" vertical="center" wrapText="1"/>
    </xf>
    <xf numFmtId="0" fontId="37" fillId="59" borderId="78" xfId="4" applyFont="1" applyFill="1" applyBorder="1" applyAlignment="1" applyProtection="1">
      <alignment horizontal="center" vertical="center" wrapText="1"/>
    </xf>
    <xf numFmtId="0" fontId="37" fillId="59" borderId="35" xfId="4" applyFont="1" applyFill="1" applyBorder="1" applyAlignment="1" applyProtection="1">
      <alignment horizontal="center" vertical="center" wrapText="1"/>
    </xf>
    <xf numFmtId="0" fontId="37" fillId="59" borderId="35" xfId="0" applyFont="1" applyFill="1" applyBorder="1" applyAlignment="1" applyProtection="1">
      <alignment horizontal="center" vertical="center" wrapText="1"/>
    </xf>
    <xf numFmtId="0" fontId="37" fillId="59" borderId="41" xfId="0" applyFont="1" applyFill="1" applyBorder="1" applyAlignment="1" applyProtection="1">
      <alignment horizontal="center" vertical="center" wrapText="1"/>
    </xf>
    <xf numFmtId="0" fontId="31" fillId="4" borderId="0" xfId="0" applyFont="1" applyFill="1" applyBorder="1" applyAlignment="1" applyProtection="1">
      <alignment vertical="center" wrapText="1"/>
    </xf>
    <xf numFmtId="0" fontId="31" fillId="9" borderId="70" xfId="5" applyFont="1" applyFill="1" applyBorder="1" applyAlignment="1" applyProtection="1">
      <alignment vertical="center" wrapText="1"/>
    </xf>
    <xf numFmtId="165" fontId="31" fillId="9" borderId="33" xfId="4" applyNumberFormat="1" applyFont="1" applyFill="1" applyBorder="1" applyAlignment="1" applyProtection="1">
      <alignment horizontal="center" vertical="center" wrapText="1"/>
    </xf>
    <xf numFmtId="0" fontId="31" fillId="9" borderId="33" xfId="4" applyFont="1" applyFill="1" applyBorder="1" applyAlignment="1" applyProtection="1">
      <alignment horizontal="center" vertical="center" wrapText="1"/>
    </xf>
    <xf numFmtId="165" fontId="31" fillId="9" borderId="67" xfId="4" applyNumberFormat="1" applyFont="1" applyFill="1" applyBorder="1" applyAlignment="1" applyProtection="1">
      <alignment horizontal="center" vertical="center" wrapText="1"/>
    </xf>
    <xf numFmtId="3" fontId="31" fillId="7" borderId="70" xfId="4" applyNumberFormat="1" applyFont="1" applyFill="1" applyBorder="1" applyAlignment="1" applyProtection="1">
      <alignment horizontal="center" vertical="center" wrapText="1"/>
    </xf>
    <xf numFmtId="3" fontId="31" fillId="7" borderId="33" xfId="4" applyNumberFormat="1" applyFont="1" applyFill="1" applyBorder="1" applyAlignment="1" applyProtection="1">
      <alignment horizontal="center" vertical="center" wrapText="1"/>
    </xf>
    <xf numFmtId="3" fontId="31" fillId="9" borderId="67" xfId="0" applyNumberFormat="1" applyFont="1" applyFill="1" applyBorder="1" applyAlignment="1" applyProtection="1">
      <alignment horizontal="center" vertical="center"/>
    </xf>
    <xf numFmtId="0" fontId="31" fillId="4" borderId="0" xfId="0" applyFont="1" applyFill="1" applyBorder="1" applyAlignment="1" applyProtection="1">
      <alignment vertical="center"/>
    </xf>
    <xf numFmtId="3" fontId="31" fillId="9" borderId="68" xfId="0" applyNumberFormat="1" applyFont="1" applyFill="1" applyBorder="1" applyAlignment="1" applyProtection="1">
      <alignment horizontal="center" vertical="center"/>
    </xf>
    <xf numFmtId="3" fontId="31" fillId="9" borderId="49" xfId="0" applyNumberFormat="1" applyFont="1" applyFill="1" applyBorder="1" applyAlignment="1" applyProtection="1">
      <alignment horizontal="center" vertical="center"/>
    </xf>
    <xf numFmtId="0" fontId="31" fillId="4" borderId="0" xfId="0" applyFont="1" applyFill="1" applyAlignment="1" applyProtection="1">
      <alignment vertical="center" wrapText="1"/>
    </xf>
    <xf numFmtId="0" fontId="31" fillId="9" borderId="75" xfId="5" applyFont="1" applyFill="1" applyBorder="1" applyAlignment="1" applyProtection="1">
      <alignment vertical="center" wrapText="1"/>
    </xf>
    <xf numFmtId="1" fontId="31" fillId="7" borderId="70" xfId="4" applyNumberFormat="1" applyFont="1" applyFill="1" applyBorder="1" applyAlignment="1" applyProtection="1">
      <alignment horizontal="center" vertical="center" wrapText="1"/>
    </xf>
    <xf numFmtId="0" fontId="41" fillId="58" borderId="71" xfId="5" applyFont="1" applyFill="1" applyBorder="1" applyAlignment="1" applyProtection="1">
      <alignment horizontal="right" vertical="center" wrapText="1"/>
    </xf>
    <xf numFmtId="0" fontId="33" fillId="9" borderId="68" xfId="0" applyFont="1" applyFill="1" applyBorder="1" applyAlignment="1" applyProtection="1">
      <alignment horizontal="center" vertical="center"/>
    </xf>
    <xf numFmtId="0" fontId="41" fillId="58" borderId="11" xfId="0" applyFont="1" applyFill="1" applyBorder="1" applyAlignment="1" applyProtection="1">
      <alignment horizontal="right" vertical="center" wrapText="1"/>
    </xf>
    <xf numFmtId="3" fontId="31" fillId="9" borderId="80" xfId="0" applyNumberFormat="1" applyFont="1" applyFill="1" applyBorder="1" applyAlignment="1" applyProtection="1">
      <alignment horizontal="center" vertical="center"/>
    </xf>
    <xf numFmtId="0" fontId="31" fillId="51" borderId="34" xfId="0" applyFont="1" applyFill="1" applyBorder="1" applyProtection="1"/>
    <xf numFmtId="0" fontId="102" fillId="51" borderId="53" xfId="0" applyFont="1" applyFill="1" applyBorder="1" applyAlignment="1" applyProtection="1">
      <alignment horizontal="left"/>
    </xf>
    <xf numFmtId="0" fontId="41" fillId="51" borderId="53" xfId="0" applyFont="1" applyFill="1" applyBorder="1" applyAlignment="1" applyProtection="1">
      <alignment horizontal="left" wrapText="1"/>
    </xf>
    <xf numFmtId="0" fontId="31" fillId="51" borderId="53" xfId="0" applyFont="1" applyFill="1" applyBorder="1" applyAlignment="1" applyProtection="1">
      <alignment horizontal="center"/>
    </xf>
    <xf numFmtId="0" fontId="31" fillId="51" borderId="53" xfId="0" applyFont="1" applyFill="1" applyBorder="1" applyProtection="1"/>
    <xf numFmtId="0" fontId="31" fillId="51" borderId="54" xfId="0" applyFont="1" applyFill="1" applyBorder="1" applyProtection="1"/>
    <xf numFmtId="0" fontId="28" fillId="2" borderId="33" xfId="0" applyFont="1" applyFill="1" applyBorder="1" applyAlignment="1" applyProtection="1">
      <alignment horizontal="center"/>
    </xf>
    <xf numFmtId="0" fontId="37" fillId="2" borderId="33" xfId="0" applyFont="1" applyFill="1" applyBorder="1" applyAlignment="1" applyProtection="1">
      <alignment horizontal="right"/>
    </xf>
    <xf numFmtId="165" fontId="10" fillId="9" borderId="33" xfId="54" applyNumberFormat="1" applyFill="1" applyBorder="1" applyAlignment="1" applyProtection="1">
      <alignment horizontal="center" vertical="center"/>
    </xf>
    <xf numFmtId="165" fontId="41" fillId="9" borderId="33" xfId="0" applyNumberFormat="1" applyFont="1" applyFill="1" applyBorder="1" applyAlignment="1" applyProtection="1">
      <alignment horizontal="center"/>
    </xf>
    <xf numFmtId="164" fontId="10" fillId="9" borderId="33" xfId="54" applyNumberFormat="1" applyFill="1" applyBorder="1" applyAlignment="1" applyProtection="1">
      <alignment horizontal="center"/>
    </xf>
    <xf numFmtId="0" fontId="37" fillId="2" borderId="33" xfId="0" applyFont="1" applyFill="1" applyBorder="1" applyAlignment="1" applyProtection="1">
      <alignment horizontal="center"/>
    </xf>
    <xf numFmtId="0" fontId="37" fillId="2" borderId="33" xfId="0" applyFont="1" applyFill="1" applyBorder="1" applyAlignment="1" applyProtection="1">
      <alignment horizontal="center" wrapText="1"/>
    </xf>
    <xf numFmtId="0" fontId="8" fillId="7" borderId="33" xfId="0" applyFont="1" applyFill="1" applyBorder="1" applyAlignment="1" applyProtection="1">
      <alignment horizontal="left"/>
    </xf>
    <xf numFmtId="165" fontId="31" fillId="10" borderId="33" xfId="0" applyNumberFormat="1" applyFont="1" applyFill="1" applyBorder="1" applyAlignment="1" applyProtection="1">
      <alignment horizontal="center"/>
    </xf>
    <xf numFmtId="1" fontId="31" fillId="10" borderId="33" xfId="0" applyNumberFormat="1" applyFont="1" applyFill="1" applyBorder="1" applyAlignment="1" applyProtection="1">
      <alignment horizontal="center"/>
    </xf>
    <xf numFmtId="0" fontId="7" fillId="7" borderId="33" xfId="0" applyFont="1" applyFill="1" applyBorder="1" applyAlignment="1" applyProtection="1">
      <alignment horizontal="left"/>
    </xf>
    <xf numFmtId="165" fontId="31" fillId="10" borderId="55" xfId="0" applyNumberFormat="1" applyFont="1" applyFill="1" applyBorder="1" applyAlignment="1" applyProtection="1">
      <alignment horizontal="center"/>
    </xf>
    <xf numFmtId="1" fontId="31" fillId="10" borderId="55" xfId="0" applyNumberFormat="1" applyFont="1" applyFill="1" applyBorder="1" applyAlignment="1" applyProtection="1">
      <alignment horizontal="center"/>
    </xf>
    <xf numFmtId="0" fontId="33" fillId="4" borderId="34" xfId="0" applyFont="1" applyFill="1" applyBorder="1" applyAlignment="1" applyProtection="1">
      <alignment horizontal="right"/>
    </xf>
    <xf numFmtId="0" fontId="33" fillId="4" borderId="53" xfId="0" applyFont="1" applyFill="1" applyBorder="1" applyAlignment="1" applyProtection="1">
      <alignment horizontal="right"/>
    </xf>
    <xf numFmtId="0" fontId="33" fillId="4" borderId="54" xfId="0" applyFont="1" applyFill="1" applyBorder="1" applyAlignment="1" applyProtection="1">
      <alignment horizontal="right"/>
    </xf>
    <xf numFmtId="165" fontId="41" fillId="10" borderId="35" xfId="0" applyNumberFormat="1" applyFont="1" applyFill="1" applyBorder="1" applyAlignment="1" applyProtection="1">
      <alignment horizontal="center"/>
    </xf>
    <xf numFmtId="3" fontId="41" fillId="49" borderId="33" xfId="0" applyNumberFormat="1" applyFont="1" applyFill="1" applyBorder="1" applyAlignment="1" applyProtection="1">
      <alignment horizontal="center"/>
    </xf>
    <xf numFmtId="0" fontId="37" fillId="59" borderId="69" xfId="0" applyFont="1" applyFill="1" applyBorder="1" applyAlignment="1" applyProtection="1">
      <alignment horizontal="center"/>
    </xf>
    <xf numFmtId="0" fontId="31" fillId="9" borderId="67" xfId="0" applyFont="1" applyFill="1" applyBorder="1" applyAlignment="1" applyProtection="1">
      <alignment horizontal="center"/>
    </xf>
    <xf numFmtId="0" fontId="31" fillId="9" borderId="68" xfId="0" applyFont="1" applyFill="1" applyBorder="1" applyAlignment="1" applyProtection="1">
      <alignment horizontal="center"/>
    </xf>
    <xf numFmtId="0" fontId="31" fillId="9" borderId="20" xfId="0" applyFont="1" applyFill="1" applyBorder="1" applyAlignment="1" applyProtection="1">
      <alignment horizontal="center"/>
    </xf>
    <xf numFmtId="0" fontId="60" fillId="53" borderId="33" xfId="0" applyFont="1" applyFill="1" applyBorder="1" applyAlignment="1" applyProtection="1">
      <alignment horizontal="center"/>
    </xf>
    <xf numFmtId="0" fontId="31" fillId="0" borderId="34" xfId="5" applyFont="1" applyFill="1" applyBorder="1" applyAlignment="1" applyProtection="1">
      <alignment vertical="center" wrapText="1"/>
    </xf>
    <xf numFmtId="0" fontId="31" fillId="0" borderId="0" xfId="5" applyFont="1" applyFill="1" applyBorder="1" applyAlignment="1" applyProtection="1">
      <alignment horizontal="right" vertical="center" wrapText="1"/>
    </xf>
    <xf numFmtId="0" fontId="42" fillId="4" borderId="34" xfId="0" applyFont="1" applyFill="1" applyBorder="1" applyProtection="1"/>
    <xf numFmtId="0" fontId="42" fillId="4" borderId="54" xfId="0" applyFont="1" applyFill="1" applyBorder="1" applyAlignment="1" applyProtection="1">
      <alignment horizontal="right"/>
    </xf>
    <xf numFmtId="0" fontId="60" fillId="4" borderId="33" xfId="0" applyFont="1" applyFill="1" applyBorder="1" applyAlignment="1" applyProtection="1">
      <alignment horizontal="right"/>
    </xf>
    <xf numFmtId="0" fontId="60" fillId="51" borderId="33" xfId="0" applyFont="1" applyFill="1" applyBorder="1" applyAlignment="1" applyProtection="1">
      <alignment horizontal="right"/>
    </xf>
    <xf numFmtId="3" fontId="60" fillId="51" borderId="33" xfId="0" applyNumberFormat="1" applyFont="1" applyFill="1" applyBorder="1" applyAlignment="1" applyProtection="1">
      <alignment horizontal="center"/>
    </xf>
    <xf numFmtId="0" fontId="41" fillId="50" borderId="33" xfId="0" applyFont="1" applyFill="1" applyBorder="1" applyAlignment="1" applyProtection="1">
      <alignment horizontal="right" wrapText="1"/>
    </xf>
    <xf numFmtId="0" fontId="60" fillId="4" borderId="33" xfId="0" applyFont="1" applyFill="1" applyBorder="1" applyAlignment="1" applyProtection="1">
      <alignment horizontal="center" wrapText="1"/>
    </xf>
    <xf numFmtId="0" fontId="31" fillId="0" borderId="34" xfId="5" applyFont="1" applyFill="1" applyBorder="1" applyAlignment="1" applyProtection="1">
      <alignment horizontal="center" vertical="center" wrapText="1"/>
    </xf>
    <xf numFmtId="0" fontId="31" fillId="0" borderId="33" xfId="5" applyFont="1" applyFill="1" applyBorder="1" applyAlignment="1" applyProtection="1">
      <alignment horizontal="center" vertical="center" wrapText="1"/>
    </xf>
    <xf numFmtId="0" fontId="31" fillId="4" borderId="33" xfId="0" applyFont="1" applyFill="1" applyBorder="1" applyAlignment="1" applyProtection="1">
      <alignment horizontal="right"/>
    </xf>
    <xf numFmtId="3" fontId="60" fillId="4" borderId="33" xfId="0" applyNumberFormat="1" applyFont="1" applyFill="1" applyBorder="1" applyProtection="1"/>
    <xf numFmtId="0" fontId="41" fillId="4" borderId="33" xfId="0" applyFont="1" applyFill="1" applyBorder="1" applyAlignment="1" applyProtection="1">
      <alignment horizontal="right"/>
    </xf>
    <xf numFmtId="0" fontId="60" fillId="4" borderId="0" xfId="0" applyFont="1" applyFill="1" applyAlignment="1" applyProtection="1">
      <alignment horizontal="center"/>
    </xf>
    <xf numFmtId="3" fontId="31" fillId="49" borderId="10" xfId="4" applyNumberFormat="1" applyFont="1" applyFill="1" applyBorder="1" applyAlignment="1" applyProtection="1">
      <alignment horizontal="center" vertical="center" wrapText="1"/>
      <protection locked="0"/>
    </xf>
    <xf numFmtId="3" fontId="31" fillId="49" borderId="5" xfId="4" applyNumberFormat="1" applyFont="1" applyFill="1" applyBorder="1" applyAlignment="1" applyProtection="1">
      <alignment horizontal="center" vertical="center" wrapText="1"/>
      <protection locked="0"/>
    </xf>
    <xf numFmtId="0" fontId="37" fillId="59" borderId="79" xfId="5" applyFont="1" applyFill="1" applyBorder="1" applyAlignment="1" applyProtection="1">
      <alignment horizontal="centerContinuous" vertical="center" wrapText="1"/>
    </xf>
    <xf numFmtId="0" fontId="37" fillId="59" borderId="20" xfId="5" applyFont="1" applyFill="1" applyBorder="1" applyAlignment="1" applyProtection="1">
      <alignment horizontal="centerContinuous" vertical="center" wrapText="1"/>
    </xf>
    <xf numFmtId="0" fontId="37" fillId="59" borderId="80" xfId="5" applyFont="1" applyFill="1" applyBorder="1" applyAlignment="1" applyProtection="1">
      <alignment horizontal="centerContinuous" vertical="center" wrapText="1"/>
    </xf>
    <xf numFmtId="0" fontId="37" fillId="59" borderId="79" xfId="5" applyFont="1" applyFill="1" applyBorder="1" applyAlignment="1" applyProtection="1">
      <alignment horizontal="centerContinuous" vertical="center"/>
    </xf>
    <xf numFmtId="0" fontId="37" fillId="59" borderId="24" xfId="5" applyFont="1" applyFill="1" applyBorder="1" applyAlignment="1" applyProtection="1">
      <alignment vertical="center" wrapText="1"/>
    </xf>
    <xf numFmtId="0" fontId="31" fillId="9" borderId="85" xfId="5" applyFont="1" applyFill="1" applyBorder="1" applyAlignment="1" applyProtection="1">
      <alignment vertical="center" wrapText="1"/>
    </xf>
    <xf numFmtId="9" fontId="31" fillId="9" borderId="33" xfId="0" applyNumberFormat="1" applyFont="1" applyFill="1" applyBorder="1" applyAlignment="1" applyProtection="1">
      <alignment horizontal="center" vertical="center"/>
    </xf>
    <xf numFmtId="0" fontId="31" fillId="9" borderId="33" xfId="0" applyFont="1" applyFill="1" applyBorder="1" applyAlignment="1" applyProtection="1">
      <alignment horizontal="center" vertical="center"/>
    </xf>
    <xf numFmtId="0" fontId="31" fillId="9" borderId="123" xfId="5" applyFont="1" applyFill="1" applyBorder="1" applyAlignment="1" applyProtection="1">
      <alignment vertical="center" wrapText="1"/>
    </xf>
    <xf numFmtId="0" fontId="31" fillId="9" borderId="55" xfId="0" applyFont="1" applyFill="1" applyBorder="1" applyAlignment="1" applyProtection="1">
      <alignment horizontal="center" vertical="center"/>
    </xf>
    <xf numFmtId="9" fontId="31" fillId="9" borderId="55" xfId="0" applyNumberFormat="1" applyFont="1" applyFill="1" applyBorder="1" applyAlignment="1" applyProtection="1">
      <alignment horizontal="center" vertical="center"/>
    </xf>
    <xf numFmtId="0" fontId="41" fillId="9" borderId="26" xfId="5" applyFont="1" applyFill="1" applyBorder="1" applyAlignment="1" applyProtection="1">
      <alignment vertical="center" wrapText="1"/>
    </xf>
    <xf numFmtId="0" fontId="33" fillId="9" borderId="21" xfId="0" applyFont="1" applyFill="1" applyBorder="1" applyAlignment="1" applyProtection="1">
      <alignment horizontal="center" vertical="center"/>
    </xf>
    <xf numFmtId="0" fontId="83" fillId="4" borderId="0" xfId="5" applyFont="1" applyFill="1" applyBorder="1" applyAlignment="1" applyProtection="1"/>
    <xf numFmtId="0" fontId="41" fillId="4" borderId="0" xfId="5" applyFont="1" applyFill="1" applyBorder="1" applyAlignment="1" applyProtection="1">
      <alignment wrapText="1"/>
    </xf>
    <xf numFmtId="0" fontId="41" fillId="9" borderId="108" xfId="5" applyFont="1" applyFill="1" applyBorder="1" applyAlignment="1" applyProtection="1">
      <alignment vertical="center" wrapText="1"/>
    </xf>
    <xf numFmtId="0" fontId="31" fillId="4" borderId="70" xfId="0" applyFont="1" applyFill="1" applyBorder="1" applyAlignment="1" applyProtection="1">
      <alignment horizontal="right" wrapText="1"/>
    </xf>
    <xf numFmtId="0" fontId="31" fillId="4" borderId="77" xfId="0" applyFont="1" applyFill="1" applyBorder="1" applyAlignment="1" applyProtection="1">
      <alignment horizontal="center"/>
    </xf>
    <xf numFmtId="2" fontId="41" fillId="9" borderId="67" xfId="0" applyNumberFormat="1" applyFont="1" applyFill="1" applyBorder="1" applyAlignment="1" applyProtection="1">
      <alignment horizontal="center"/>
    </xf>
    <xf numFmtId="0" fontId="0" fillId="9" borderId="67" xfId="0" applyFill="1" applyBorder="1" applyAlignment="1" applyProtection="1">
      <alignment horizontal="center"/>
    </xf>
    <xf numFmtId="0" fontId="31" fillId="9" borderId="96" xfId="0" applyFont="1" applyFill="1" applyBorder="1" applyAlignment="1" applyProtection="1">
      <alignment horizontal="center"/>
    </xf>
    <xf numFmtId="0" fontId="0" fillId="9" borderId="96" xfId="0" applyFill="1" applyBorder="1" applyAlignment="1" applyProtection="1">
      <alignment horizontal="center"/>
    </xf>
    <xf numFmtId="0" fontId="0" fillId="9" borderId="39" xfId="0" applyFill="1" applyBorder="1" applyAlignment="1" applyProtection="1">
      <alignment horizontal="center"/>
    </xf>
    <xf numFmtId="0" fontId="0" fillId="9" borderId="41" xfId="0" applyFill="1" applyBorder="1" applyAlignment="1" applyProtection="1">
      <alignment horizontal="center"/>
    </xf>
    <xf numFmtId="0" fontId="31" fillId="9" borderId="49" xfId="0" applyFont="1" applyFill="1" applyBorder="1" applyAlignment="1" applyProtection="1">
      <alignment horizontal="center"/>
    </xf>
    <xf numFmtId="0" fontId="0" fillId="9" borderId="69" xfId="0" applyFill="1" applyBorder="1" applyAlignment="1" applyProtection="1">
      <alignment horizontal="center"/>
    </xf>
    <xf numFmtId="3" fontId="0" fillId="9" borderId="68" xfId="0" applyNumberFormat="1" applyFill="1" applyBorder="1" applyAlignment="1" applyProtection="1">
      <alignment horizontal="center"/>
    </xf>
    <xf numFmtId="0" fontId="31" fillId="9" borderId="80" xfId="0" applyFont="1" applyFill="1" applyBorder="1" applyAlignment="1" applyProtection="1">
      <alignment horizontal="center"/>
    </xf>
    <xf numFmtId="3" fontId="0" fillId="9" borderId="80" xfId="0" applyNumberFormat="1" applyFill="1" applyBorder="1" applyAlignment="1" applyProtection="1">
      <alignment horizontal="center"/>
    </xf>
    <xf numFmtId="4" fontId="0" fillId="9" borderId="85" xfId="0" applyNumberFormat="1" applyFont="1" applyFill="1" applyBorder="1" applyAlignment="1" applyProtection="1">
      <alignment horizontal="center"/>
    </xf>
    <xf numFmtId="2" fontId="0" fillId="9" borderId="85" xfId="0" applyNumberFormat="1" applyFont="1" applyFill="1" applyBorder="1" applyAlignment="1" applyProtection="1">
      <alignment horizontal="center"/>
    </xf>
    <xf numFmtId="3" fontId="31" fillId="9" borderId="39" xfId="0" applyNumberFormat="1" applyFont="1" applyFill="1" applyBorder="1" applyAlignment="1" applyProtection="1">
      <alignment horizontal="center"/>
    </xf>
    <xf numFmtId="3" fontId="31" fillId="9" borderId="119" xfId="0" applyNumberFormat="1" applyFont="1" applyFill="1" applyBorder="1" applyAlignment="1" applyProtection="1">
      <alignment horizontal="center"/>
    </xf>
    <xf numFmtId="3" fontId="41" fillId="9" borderId="49" xfId="0" applyNumberFormat="1" applyFont="1" applyFill="1" applyBorder="1" applyAlignment="1" applyProtection="1">
      <alignment horizontal="center" wrapText="1"/>
    </xf>
    <xf numFmtId="0" fontId="31" fillId="59" borderId="0" xfId="0" applyFont="1" applyFill="1" applyAlignment="1" applyProtection="1">
      <alignment horizontal="center"/>
    </xf>
    <xf numFmtId="0" fontId="37" fillId="59" borderId="97" xfId="0" applyFont="1" applyFill="1" applyBorder="1" applyAlignment="1" applyProtection="1">
      <alignment horizontal="centerContinuous" vertical="top" wrapText="1"/>
    </xf>
    <xf numFmtId="0" fontId="37" fillId="59" borderId="11" xfId="0" applyFont="1" applyFill="1" applyBorder="1" applyAlignment="1" applyProtection="1">
      <alignment horizontal="centerContinuous"/>
    </xf>
    <xf numFmtId="0" fontId="37" fillId="59" borderId="10" xfId="0" applyFont="1" applyFill="1" applyBorder="1" applyAlignment="1" applyProtection="1">
      <alignment horizontal="centerContinuous"/>
    </xf>
    <xf numFmtId="0" fontId="37" fillId="59" borderId="17" xfId="0" applyFont="1" applyFill="1" applyBorder="1" applyAlignment="1" applyProtection="1">
      <alignment horizontal="centerContinuous"/>
    </xf>
    <xf numFmtId="0" fontId="31" fillId="4" borderId="0" xfId="0" applyFont="1" applyFill="1" applyAlignment="1" applyProtection="1">
      <alignment horizontal="center" vertical="center" wrapText="1"/>
    </xf>
    <xf numFmtId="0" fontId="37" fillId="59" borderId="19" xfId="0" applyFont="1" applyFill="1" applyBorder="1" applyAlignment="1" applyProtection="1">
      <alignment horizontal="center" vertical="center" wrapText="1"/>
    </xf>
    <xf numFmtId="0" fontId="37" fillId="59" borderId="82" xfId="0" applyFont="1" applyFill="1" applyBorder="1" applyAlignment="1" applyProtection="1">
      <alignment horizontal="center" vertical="center" wrapText="1"/>
    </xf>
    <xf numFmtId="0" fontId="37" fillId="59" borderId="2" xfId="0" applyFont="1" applyFill="1" applyBorder="1" applyAlignment="1" applyProtection="1">
      <alignment horizontal="center" vertical="center" wrapText="1"/>
    </xf>
    <xf numFmtId="0" fontId="37" fillId="59" borderId="3" xfId="0" applyFont="1" applyFill="1" applyBorder="1" applyAlignment="1" applyProtection="1">
      <alignment horizontal="center" vertical="center" wrapText="1"/>
    </xf>
    <xf numFmtId="0" fontId="37" fillId="59" borderId="29" xfId="0" applyFont="1" applyFill="1" applyBorder="1" applyAlignment="1" applyProtection="1">
      <alignment horizontal="center" vertical="center" wrapText="1"/>
    </xf>
    <xf numFmtId="0" fontId="37" fillId="59" borderId="8" xfId="0" applyFont="1" applyFill="1" applyBorder="1" applyAlignment="1" applyProtection="1">
      <alignment horizontal="center" vertical="center" wrapText="1"/>
    </xf>
    <xf numFmtId="0" fontId="41" fillId="58" borderId="91" xfId="0" applyFont="1" applyFill="1" applyBorder="1" applyAlignment="1" applyProtection="1">
      <alignment wrapText="1"/>
    </xf>
    <xf numFmtId="3" fontId="31" fillId="58" borderId="30" xfId="0" applyNumberFormat="1" applyFont="1" applyFill="1" applyBorder="1" applyAlignment="1" applyProtection="1">
      <alignment horizontal="center" wrapText="1"/>
    </xf>
    <xf numFmtId="3" fontId="31" fillId="58" borderId="88" xfId="0" applyNumberFormat="1" applyFont="1" applyFill="1" applyBorder="1" applyAlignment="1" applyProtection="1">
      <alignment horizontal="center" wrapText="1"/>
    </xf>
    <xf numFmtId="3" fontId="31" fillId="58" borderId="27" xfId="0" applyNumberFormat="1" applyFont="1" applyFill="1" applyBorder="1" applyAlignment="1" applyProtection="1">
      <alignment horizontal="center" wrapText="1"/>
    </xf>
    <xf numFmtId="3" fontId="31" fillId="58" borderId="39" xfId="0" applyNumberFormat="1" applyFont="1" applyFill="1" applyBorder="1" applyAlignment="1" applyProtection="1">
      <alignment horizontal="center" wrapText="1"/>
    </xf>
    <xf numFmtId="0" fontId="31" fillId="58" borderId="25" xfId="0" applyFont="1" applyFill="1" applyBorder="1" applyAlignment="1" applyProtection="1">
      <alignment horizontal="center" wrapText="1"/>
    </xf>
    <xf numFmtId="3" fontId="31" fillId="58" borderId="0" xfId="0" applyNumberFormat="1" applyFont="1" applyFill="1" applyBorder="1" applyAlignment="1" applyProtection="1">
      <alignment horizontal="center" wrapText="1"/>
    </xf>
    <xf numFmtId="3" fontId="31" fillId="58" borderId="18" xfId="0" applyNumberFormat="1" applyFont="1" applyFill="1" applyBorder="1" applyAlignment="1" applyProtection="1">
      <alignment horizontal="center" wrapText="1"/>
    </xf>
    <xf numFmtId="0" fontId="31" fillId="9" borderId="2" xfId="0" applyFont="1" applyFill="1" applyBorder="1" applyAlignment="1" applyProtection="1">
      <alignment wrapText="1"/>
    </xf>
    <xf numFmtId="3" fontId="31" fillId="7" borderId="18" xfId="0" applyNumberFormat="1" applyFont="1" applyFill="1" applyBorder="1" applyAlignment="1" applyProtection="1">
      <alignment horizontal="center" wrapText="1"/>
    </xf>
    <xf numFmtId="3" fontId="31" fillId="7" borderId="39" xfId="0" applyNumberFormat="1" applyFont="1" applyFill="1" applyBorder="1" applyAlignment="1" applyProtection="1">
      <alignment horizontal="center" wrapText="1"/>
    </xf>
    <xf numFmtId="3" fontId="31" fillId="9" borderId="27" xfId="0" applyNumberFormat="1" applyFont="1" applyFill="1" applyBorder="1" applyAlignment="1" applyProtection="1">
      <alignment horizontal="center" wrapText="1"/>
    </xf>
    <xf numFmtId="3" fontId="41" fillId="10" borderId="25" xfId="0" applyNumberFormat="1" applyFont="1" applyFill="1" applyBorder="1" applyAlignment="1" applyProtection="1">
      <alignment horizontal="center" wrapText="1"/>
    </xf>
    <xf numFmtId="3" fontId="31" fillId="10" borderId="0" xfId="0" applyNumberFormat="1" applyFont="1" applyFill="1" applyBorder="1" applyAlignment="1" applyProtection="1">
      <alignment horizontal="center" wrapText="1"/>
    </xf>
    <xf numFmtId="3" fontId="31" fillId="10" borderId="39" xfId="0" applyNumberFormat="1" applyFont="1" applyFill="1" applyBorder="1" applyAlignment="1" applyProtection="1">
      <alignment horizontal="center" wrapText="1"/>
    </xf>
    <xf numFmtId="0" fontId="47" fillId="4" borderId="0" xfId="0" applyFont="1" applyFill="1" applyAlignment="1" applyProtection="1">
      <alignment wrapText="1"/>
    </xf>
    <xf numFmtId="3" fontId="31" fillId="4" borderId="0" xfId="0" applyNumberFormat="1" applyFont="1" applyFill="1" applyAlignment="1" applyProtection="1">
      <alignment wrapText="1"/>
    </xf>
    <xf numFmtId="0" fontId="37" fillId="59" borderId="75" xfId="0" applyFont="1" applyFill="1" applyBorder="1" applyAlignment="1" applyProtection="1">
      <alignment wrapText="1"/>
    </xf>
    <xf numFmtId="3" fontId="37" fillId="59" borderId="33" xfId="0" applyNumberFormat="1" applyFont="1" applyFill="1" applyBorder="1" applyAlignment="1" applyProtection="1">
      <alignment horizontal="center" wrapText="1"/>
    </xf>
    <xf numFmtId="3" fontId="37" fillId="59" borderId="67" xfId="0" applyNumberFormat="1" applyFont="1" applyFill="1" applyBorder="1" applyAlignment="1" applyProtection="1">
      <alignment horizontal="center" wrapText="1"/>
    </xf>
    <xf numFmtId="3" fontId="37" fillId="59" borderId="70" xfId="0" applyNumberFormat="1" applyFont="1" applyFill="1" applyBorder="1" applyAlignment="1" applyProtection="1">
      <alignment horizontal="center" wrapText="1"/>
    </xf>
    <xf numFmtId="3" fontId="37" fillId="59" borderId="85" xfId="0" applyNumberFormat="1" applyFont="1" applyFill="1" applyBorder="1" applyAlignment="1" applyProtection="1">
      <alignment horizontal="center" wrapText="1"/>
    </xf>
    <xf numFmtId="3" fontId="37" fillId="59" borderId="53" xfId="0" applyNumberFormat="1" applyFont="1" applyFill="1" applyBorder="1" applyAlignment="1" applyProtection="1">
      <alignment horizontal="center" wrapText="1"/>
    </xf>
    <xf numFmtId="0" fontId="41" fillId="58" borderId="2" xfId="0" applyFont="1" applyFill="1" applyBorder="1" applyAlignment="1" applyProtection="1">
      <alignment wrapText="1"/>
    </xf>
    <xf numFmtId="3" fontId="41" fillId="58" borderId="25" xfId="0" applyNumberFormat="1" applyFont="1" applyFill="1" applyBorder="1" applyAlignment="1" applyProtection="1">
      <alignment horizontal="center" wrapText="1"/>
    </xf>
    <xf numFmtId="0" fontId="31" fillId="9" borderId="2" xfId="5" applyFont="1" applyFill="1" applyBorder="1" applyAlignment="1" applyProtection="1">
      <alignment vertical="center" wrapText="1"/>
    </xf>
    <xf numFmtId="0" fontId="37" fillId="59" borderId="75" xfId="5" applyFont="1" applyFill="1" applyBorder="1" applyAlignment="1" applyProtection="1">
      <alignment vertical="center" wrapText="1"/>
    </xf>
    <xf numFmtId="0" fontId="41" fillId="9" borderId="2" xfId="0" applyFont="1" applyFill="1" applyBorder="1" applyAlignment="1" applyProtection="1">
      <alignment wrapText="1"/>
    </xf>
    <xf numFmtId="0" fontId="37" fillId="59" borderId="101" xfId="0" applyFont="1" applyFill="1" applyBorder="1" applyAlignment="1" applyProtection="1">
      <alignment wrapText="1"/>
    </xf>
    <xf numFmtId="3" fontId="37" fillId="59" borderId="55" xfId="0" applyNumberFormat="1" applyFont="1" applyFill="1" applyBorder="1" applyAlignment="1" applyProtection="1">
      <alignment horizontal="center" wrapText="1"/>
    </xf>
    <xf numFmtId="3" fontId="37" fillId="59" borderId="96" xfId="0" applyNumberFormat="1" applyFont="1" applyFill="1" applyBorder="1" applyAlignment="1" applyProtection="1">
      <alignment horizontal="center" wrapText="1"/>
    </xf>
    <xf numFmtId="3" fontId="37" fillId="59" borderId="95" xfId="0" applyNumberFormat="1" applyFont="1" applyFill="1" applyBorder="1" applyAlignment="1" applyProtection="1">
      <alignment horizontal="center" wrapText="1"/>
    </xf>
    <xf numFmtId="3" fontId="37" fillId="59" borderId="123" xfId="0" applyNumberFormat="1" applyFont="1" applyFill="1" applyBorder="1" applyAlignment="1" applyProtection="1">
      <alignment horizontal="center" wrapText="1"/>
    </xf>
    <xf numFmtId="3" fontId="37" fillId="59" borderId="99" xfId="0" applyNumberFormat="1" applyFont="1" applyFill="1" applyBorder="1" applyAlignment="1" applyProtection="1">
      <alignment horizontal="center" wrapText="1"/>
    </xf>
    <xf numFmtId="0" fontId="37" fillId="59" borderId="4" xfId="0" applyFont="1" applyFill="1" applyBorder="1" applyAlignment="1" applyProtection="1">
      <alignment wrapText="1"/>
    </xf>
    <xf numFmtId="3" fontId="37" fillId="59" borderId="21" xfId="0" applyNumberFormat="1" applyFont="1" applyFill="1" applyBorder="1" applyAlignment="1" applyProtection="1">
      <alignment horizontal="center" wrapText="1"/>
    </xf>
    <xf numFmtId="3" fontId="37" fillId="59" borderId="49" xfId="0" applyNumberFormat="1" applyFont="1" applyFill="1" applyBorder="1" applyAlignment="1" applyProtection="1">
      <alignment horizontal="center" wrapText="1"/>
    </xf>
    <xf numFmtId="3" fontId="37" fillId="59" borderId="28" xfId="0" applyNumberFormat="1" applyFont="1" applyFill="1" applyBorder="1" applyAlignment="1" applyProtection="1">
      <alignment horizontal="center" wrapText="1"/>
    </xf>
    <xf numFmtId="3" fontId="37" fillId="59" borderId="26" xfId="0" applyNumberFormat="1" applyFont="1" applyFill="1" applyBorder="1" applyAlignment="1" applyProtection="1">
      <alignment horizontal="center" wrapText="1"/>
    </xf>
    <xf numFmtId="3" fontId="37" fillId="59" borderId="5" xfId="0" applyNumberFormat="1" applyFont="1" applyFill="1" applyBorder="1" applyAlignment="1" applyProtection="1">
      <alignment horizontal="center" wrapText="1"/>
    </xf>
    <xf numFmtId="3" fontId="41" fillId="4" borderId="0" xfId="0" applyNumberFormat="1" applyFont="1" applyFill="1" applyBorder="1" applyAlignment="1" applyProtection="1">
      <alignment horizontal="center" wrapText="1"/>
    </xf>
    <xf numFmtId="0" fontId="41" fillId="9" borderId="33" xfId="0" applyFont="1" applyFill="1" applyBorder="1" applyAlignment="1" applyProtection="1">
      <alignment wrapText="1"/>
    </xf>
    <xf numFmtId="3" fontId="41" fillId="7" borderId="33" xfId="0" applyNumberFormat="1" applyFont="1" applyFill="1" applyBorder="1" applyAlignment="1" applyProtection="1">
      <alignment horizontal="center" wrapText="1"/>
    </xf>
    <xf numFmtId="0" fontId="56" fillId="9" borderId="34" xfId="0" applyFont="1" applyFill="1" applyBorder="1" applyAlignment="1" applyProtection="1">
      <alignment horizontal="center" wrapText="1"/>
    </xf>
    <xf numFmtId="3" fontId="41" fillId="7" borderId="34" xfId="0" applyNumberFormat="1" applyFont="1" applyFill="1" applyBorder="1" applyAlignment="1" applyProtection="1">
      <alignment horizontal="center" wrapText="1"/>
    </xf>
    <xf numFmtId="9" fontId="41" fillId="7" borderId="54" xfId="0" applyNumberFormat="1" applyFont="1" applyFill="1" applyBorder="1" applyAlignment="1" applyProtection="1">
      <alignment horizontal="center" wrapText="1"/>
    </xf>
    <xf numFmtId="9" fontId="41" fillId="4" borderId="0" xfId="0" applyNumberFormat="1" applyFont="1" applyFill="1" applyBorder="1" applyAlignment="1" applyProtection="1">
      <alignment horizontal="center" wrapText="1"/>
    </xf>
    <xf numFmtId="0" fontId="41" fillId="9" borderId="31" xfId="0" applyFont="1" applyFill="1" applyBorder="1" applyAlignment="1" applyProtection="1">
      <alignment horizontal="right" wrapText="1"/>
    </xf>
    <xf numFmtId="3" fontId="41" fillId="7" borderId="31" xfId="0" applyNumberFormat="1" applyFont="1" applyFill="1" applyBorder="1" applyAlignment="1" applyProtection="1">
      <alignment horizontal="center" wrapText="1"/>
    </xf>
    <xf numFmtId="9" fontId="41" fillId="7" borderId="37" xfId="0" applyNumberFormat="1" applyFont="1" applyFill="1" applyBorder="1" applyAlignment="1" applyProtection="1">
      <alignment horizontal="center" wrapText="1"/>
    </xf>
    <xf numFmtId="0" fontId="41" fillId="9" borderId="15" xfId="0" applyFont="1" applyFill="1" applyBorder="1" applyAlignment="1" applyProtection="1">
      <alignment horizontal="right" wrapText="1"/>
    </xf>
    <xf numFmtId="3" fontId="41" fillId="7" borderId="15" xfId="0" applyNumberFormat="1" applyFont="1" applyFill="1" applyBorder="1" applyAlignment="1" applyProtection="1">
      <alignment horizontal="center" wrapText="1"/>
    </xf>
    <xf numFmtId="9" fontId="41" fillId="7" borderId="7" xfId="0" applyNumberFormat="1" applyFont="1" applyFill="1" applyBorder="1" applyAlignment="1" applyProtection="1">
      <alignment horizontal="center" wrapText="1"/>
    </xf>
    <xf numFmtId="0" fontId="41" fillId="9" borderId="36" xfId="0" applyFont="1" applyFill="1" applyBorder="1" applyAlignment="1" applyProtection="1">
      <alignment horizontal="right" wrapText="1"/>
    </xf>
    <xf numFmtId="3" fontId="41" fillId="7" borderId="36" xfId="0" applyNumberFormat="1" applyFont="1" applyFill="1" applyBorder="1" applyAlignment="1" applyProtection="1">
      <alignment horizontal="center" wrapText="1"/>
    </xf>
    <xf numFmtId="9" fontId="41" fillId="7" borderId="47" xfId="0" applyNumberFormat="1" applyFont="1" applyFill="1" applyBorder="1" applyAlignment="1" applyProtection="1">
      <alignment horizontal="center" wrapText="1"/>
    </xf>
    <xf numFmtId="0" fontId="56" fillId="0" borderId="0" xfId="0" applyFont="1" applyFill="1" applyBorder="1" applyAlignment="1" applyProtection="1">
      <alignment horizontal="left"/>
    </xf>
    <xf numFmtId="0" fontId="37" fillId="59" borderId="124" xfId="0" applyFont="1" applyFill="1" applyBorder="1" applyAlignment="1" applyProtection="1">
      <alignment horizontal="centerContinuous"/>
    </xf>
    <xf numFmtId="0" fontId="37" fillId="59" borderId="127" xfId="0" applyFont="1" applyFill="1" applyBorder="1" applyAlignment="1" applyProtection="1">
      <alignment horizontal="centerContinuous"/>
    </xf>
    <xf numFmtId="0" fontId="37" fillId="59" borderId="128" xfId="0" applyFont="1" applyFill="1" applyBorder="1" applyAlignment="1" applyProtection="1">
      <alignment horizontal="centerContinuous"/>
    </xf>
    <xf numFmtId="0" fontId="37" fillId="59" borderId="98" xfId="0" applyFont="1" applyFill="1" applyBorder="1" applyAlignment="1" applyProtection="1">
      <alignment horizontal="left" wrapText="1"/>
    </xf>
    <xf numFmtId="0" fontId="37" fillId="59" borderId="27" xfId="0" applyFont="1" applyFill="1" applyBorder="1" applyAlignment="1" applyProtection="1">
      <alignment horizontal="center" wrapText="1"/>
    </xf>
    <xf numFmtId="0" fontId="37" fillId="59" borderId="0" xfId="0" applyFont="1" applyFill="1" applyBorder="1" applyAlignment="1" applyProtection="1">
      <alignment horizontal="center" wrapText="1"/>
    </xf>
    <xf numFmtId="0" fontId="37" fillId="59" borderId="18" xfId="0" applyFont="1" applyFill="1" applyBorder="1" applyAlignment="1" applyProtection="1">
      <alignment horizontal="center" wrapText="1"/>
    </xf>
    <xf numFmtId="0" fontId="37" fillId="59" borderId="3" xfId="0" applyFont="1" applyFill="1" applyBorder="1" applyAlignment="1" applyProtection="1">
      <alignment horizontal="center" wrapText="1"/>
    </xf>
    <xf numFmtId="0" fontId="31" fillId="9" borderId="87" xfId="0" applyFont="1" applyFill="1" applyBorder="1" applyProtection="1"/>
    <xf numFmtId="3" fontId="31" fillId="7" borderId="37" xfId="0" applyNumberFormat="1" applyFont="1" applyFill="1" applyBorder="1" applyAlignment="1" applyProtection="1">
      <alignment horizontal="center"/>
    </xf>
    <xf numFmtId="3" fontId="117" fillId="7" borderId="89" xfId="0" applyNumberFormat="1" applyFont="1" applyFill="1" applyBorder="1" applyAlignment="1" applyProtection="1">
      <alignment horizontal="center"/>
    </xf>
    <xf numFmtId="3" fontId="117" fillId="10" borderId="27" xfId="0" applyNumberFormat="1" applyFont="1" applyFill="1" applyBorder="1" applyAlignment="1" applyProtection="1">
      <alignment horizontal="center"/>
    </xf>
    <xf numFmtId="3" fontId="117" fillId="10" borderId="0" xfId="0" applyNumberFormat="1" applyFont="1" applyFill="1" applyBorder="1" applyAlignment="1" applyProtection="1">
      <alignment horizontal="center"/>
    </xf>
    <xf numFmtId="3" fontId="117" fillId="10" borderId="18" xfId="0" applyNumberFormat="1" applyFont="1" applyFill="1" applyBorder="1" applyAlignment="1" applyProtection="1">
      <alignment horizontal="center"/>
    </xf>
    <xf numFmtId="3" fontId="117" fillId="10" borderId="3" xfId="0" applyNumberFormat="1" applyFont="1" applyFill="1" applyBorder="1" applyAlignment="1" applyProtection="1">
      <alignment horizontal="center"/>
    </xf>
    <xf numFmtId="0" fontId="31" fillId="9" borderId="27" xfId="0" applyFont="1" applyFill="1" applyBorder="1" applyProtection="1"/>
    <xf numFmtId="3" fontId="31" fillId="7" borderId="7" xfId="0" applyNumberFormat="1" applyFont="1" applyFill="1" applyBorder="1" applyAlignment="1" applyProtection="1">
      <alignment horizontal="center"/>
    </xf>
    <xf numFmtId="3" fontId="41" fillId="7" borderId="3" xfId="0" applyNumberFormat="1" applyFont="1" applyFill="1" applyBorder="1" applyAlignment="1" applyProtection="1">
      <alignment horizontal="center"/>
    </xf>
    <xf numFmtId="3" fontId="31" fillId="10" borderId="27" xfId="0" applyNumberFormat="1" applyFont="1" applyFill="1" applyBorder="1" applyAlignment="1" applyProtection="1">
      <alignment horizontal="center"/>
    </xf>
    <xf numFmtId="3" fontId="31" fillId="10" borderId="0" xfId="0" applyNumberFormat="1" applyFont="1" applyFill="1" applyBorder="1" applyAlignment="1" applyProtection="1">
      <alignment horizontal="center"/>
    </xf>
    <xf numFmtId="3" fontId="31" fillId="10" borderId="18" xfId="0" applyNumberFormat="1" applyFont="1" applyFill="1" applyBorder="1" applyAlignment="1" applyProtection="1">
      <alignment horizontal="center"/>
    </xf>
    <xf numFmtId="3" fontId="31" fillId="10" borderId="3" xfId="0" applyNumberFormat="1" applyFont="1" applyFill="1" applyBorder="1" applyAlignment="1" applyProtection="1">
      <alignment horizontal="center"/>
    </xf>
    <xf numFmtId="0" fontId="31" fillId="7" borderId="7" xfId="0" applyFont="1" applyFill="1" applyBorder="1" applyAlignment="1" applyProtection="1">
      <alignment horizontal="center"/>
    </xf>
    <xf numFmtId="0" fontId="37" fillId="59" borderId="28" xfId="0" applyFont="1" applyFill="1" applyBorder="1" applyProtection="1"/>
    <xf numFmtId="0" fontId="37" fillId="59" borderId="21" xfId="0" applyFont="1" applyFill="1" applyBorder="1" applyAlignment="1" applyProtection="1">
      <alignment horizontal="center"/>
    </xf>
    <xf numFmtId="3" fontId="37" fillId="59" borderId="5" xfId="0" applyNumberFormat="1" applyFont="1" applyFill="1" applyBorder="1" applyAlignment="1" applyProtection="1">
      <alignment horizontal="center"/>
    </xf>
    <xf numFmtId="0" fontId="42" fillId="58" borderId="0" xfId="0" applyFont="1" applyFill="1" applyAlignment="1" applyProtection="1">
      <alignment horizontal="center"/>
    </xf>
    <xf numFmtId="3" fontId="31" fillId="44" borderId="96" xfId="0" applyNumberFormat="1" applyFont="1" applyFill="1" applyBorder="1" applyAlignment="1" applyProtection="1">
      <alignment horizontal="center"/>
    </xf>
    <xf numFmtId="0" fontId="31" fillId="43" borderId="75" xfId="5" applyFont="1" applyFill="1" applyBorder="1" applyAlignment="1" applyProtection="1">
      <alignment vertical="center" wrapText="1"/>
    </xf>
    <xf numFmtId="0" fontId="31" fillId="43" borderId="91" xfId="0" applyFont="1" applyFill="1" applyBorder="1" applyAlignment="1" applyProtection="1">
      <alignment wrapText="1"/>
    </xf>
    <xf numFmtId="0" fontId="31" fillId="9" borderId="91" xfId="0" applyFont="1" applyFill="1" applyBorder="1" applyAlignment="1" applyProtection="1">
      <alignment horizontal="left"/>
    </xf>
    <xf numFmtId="3" fontId="31" fillId="44" borderId="9" xfId="0" applyNumberFormat="1" applyFont="1" applyFill="1" applyBorder="1" applyAlignment="1" applyProtection="1">
      <alignment horizontal="center"/>
    </xf>
    <xf numFmtId="3" fontId="31" fillId="44" borderId="120" xfId="0" applyNumberFormat="1" applyFont="1" applyFill="1" applyBorder="1" applyAlignment="1" applyProtection="1">
      <alignment horizontal="center"/>
    </xf>
    <xf numFmtId="3" fontId="31" fillId="44" borderId="131" xfId="0" applyNumberFormat="1" applyFont="1" applyFill="1" applyBorder="1" applyAlignment="1" applyProtection="1">
      <alignment horizontal="center"/>
    </xf>
    <xf numFmtId="3" fontId="31" fillId="44" borderId="38" xfId="0" applyNumberFormat="1" applyFont="1" applyFill="1" applyBorder="1" applyAlignment="1" applyProtection="1">
      <alignment horizontal="center"/>
    </xf>
    <xf numFmtId="0" fontId="83" fillId="4" borderId="0" xfId="0" applyFont="1" applyFill="1" applyBorder="1" applyAlignment="1" applyProtection="1">
      <alignment wrapText="1"/>
    </xf>
    <xf numFmtId="0" fontId="56" fillId="9" borderId="0" xfId="0" applyFont="1" applyFill="1" applyAlignment="1" applyProtection="1">
      <alignment horizontal="left" vertical="top" wrapText="1"/>
    </xf>
    <xf numFmtId="0" fontId="48" fillId="9" borderId="0" xfId="0" applyFont="1" applyFill="1" applyAlignment="1" applyProtection="1">
      <alignment horizontal="left" wrapText="1"/>
    </xf>
    <xf numFmtId="0" fontId="56" fillId="9" borderId="0" xfId="0" applyFont="1" applyFill="1" applyAlignment="1" applyProtection="1">
      <alignment horizontal="left" wrapText="1"/>
    </xf>
    <xf numFmtId="0" fontId="85" fillId="59" borderId="76" xfId="0" applyFont="1" applyFill="1" applyBorder="1" applyAlignment="1" applyProtection="1">
      <alignment horizontal="center"/>
    </xf>
    <xf numFmtId="0" fontId="85" fillId="59" borderId="69" xfId="0" applyFont="1" applyFill="1" applyBorder="1" applyAlignment="1" applyProtection="1">
      <alignment horizontal="center"/>
    </xf>
    <xf numFmtId="0" fontId="48" fillId="9" borderId="33" xfId="0" applyFont="1" applyFill="1" applyBorder="1" applyAlignment="1" applyProtection="1">
      <alignment horizontal="left"/>
    </xf>
    <xf numFmtId="0" fontId="48" fillId="9" borderId="67" xfId="0" applyFont="1" applyFill="1" applyBorder="1" applyAlignment="1" applyProtection="1">
      <alignment horizontal="left"/>
    </xf>
    <xf numFmtId="0" fontId="48" fillId="9" borderId="33" xfId="0" applyFont="1" applyFill="1" applyBorder="1" applyAlignment="1" applyProtection="1">
      <alignment horizontal="left" wrapText="1"/>
    </xf>
    <xf numFmtId="0" fontId="48" fillId="9" borderId="67" xfId="0" applyFont="1" applyFill="1" applyBorder="1" applyAlignment="1" applyProtection="1">
      <alignment horizontal="left" wrapText="1"/>
    </xf>
    <xf numFmtId="0" fontId="48" fillId="9" borderId="77" xfId="0" applyFont="1" applyFill="1" applyBorder="1" applyAlignment="1" applyProtection="1">
      <alignment horizontal="left" wrapText="1"/>
    </xf>
    <xf numFmtId="0" fontId="48" fillId="9" borderId="68" xfId="0" applyFont="1" applyFill="1" applyBorder="1" applyAlignment="1" applyProtection="1">
      <alignment horizontal="left" wrapText="1"/>
    </xf>
    <xf numFmtId="0" fontId="48" fillId="9" borderId="8" xfId="0" applyFont="1" applyFill="1" applyBorder="1" applyAlignment="1" applyProtection="1">
      <alignment horizontal="left" wrapText="1"/>
    </xf>
    <xf numFmtId="0" fontId="32" fillId="58" borderId="0" xfId="0" applyFont="1" applyFill="1" applyBorder="1" applyAlignment="1" applyProtection="1">
      <alignment horizontal="center"/>
    </xf>
    <xf numFmtId="0" fontId="41" fillId="58" borderId="71" xfId="0" applyFont="1" applyFill="1" applyBorder="1" applyAlignment="1" applyProtection="1">
      <alignment horizontal="right"/>
    </xf>
    <xf numFmtId="0" fontId="41" fillId="58" borderId="77" xfId="0" applyFont="1" applyFill="1" applyBorder="1" applyAlignment="1" applyProtection="1">
      <alignment horizontal="right"/>
    </xf>
    <xf numFmtId="0" fontId="37" fillId="59" borderId="34" xfId="0" applyFont="1" applyFill="1" applyBorder="1" applyAlignment="1" applyProtection="1">
      <alignment horizontal="center"/>
    </xf>
    <xf numFmtId="0" fontId="37" fillId="59" borderId="54" xfId="0" applyFont="1" applyFill="1" applyBorder="1" applyAlignment="1" applyProtection="1">
      <alignment horizontal="center"/>
    </xf>
    <xf numFmtId="0" fontId="37" fillId="59" borderId="34" xfId="0" applyFont="1" applyFill="1" applyBorder="1" applyAlignment="1" applyProtection="1">
      <alignment horizontal="center" vertical="center"/>
    </xf>
    <xf numFmtId="0" fontId="37" fillId="59" borderId="54" xfId="0" applyFont="1" applyFill="1" applyBorder="1" applyAlignment="1" applyProtection="1">
      <alignment horizontal="center" vertical="center"/>
    </xf>
    <xf numFmtId="0" fontId="38" fillId="58" borderId="34" xfId="0" applyFont="1" applyFill="1" applyBorder="1" applyAlignment="1" applyProtection="1">
      <alignment horizontal="center" vertical="center" wrapText="1"/>
    </xf>
    <xf numFmtId="0" fontId="38" fillId="58" borderId="54" xfId="0" applyFont="1" applyFill="1" applyBorder="1" applyAlignment="1" applyProtection="1">
      <alignment horizontal="center" vertical="center" wrapText="1"/>
    </xf>
    <xf numFmtId="0" fontId="31" fillId="49" borderId="34" xfId="0" applyFont="1" applyFill="1" applyBorder="1" applyAlignment="1" applyProtection="1">
      <alignment horizontal="center"/>
      <protection locked="0"/>
    </xf>
    <xf numFmtId="0" fontId="31" fillId="49" borderId="54" xfId="0" applyFont="1" applyFill="1" applyBorder="1" applyAlignment="1" applyProtection="1">
      <alignment horizontal="center"/>
      <protection locked="0"/>
    </xf>
    <xf numFmtId="0" fontId="83" fillId="4" borderId="0" xfId="0" applyFont="1" applyFill="1" applyBorder="1" applyAlignment="1" applyProtection="1">
      <alignment horizontal="left" vertical="top" wrapText="1"/>
    </xf>
    <xf numFmtId="0" fontId="31" fillId="4" borderId="0" xfId="0" applyFont="1" applyFill="1" applyBorder="1" applyAlignment="1" applyProtection="1">
      <alignment horizontal="left" vertical="top" wrapText="1"/>
    </xf>
    <xf numFmtId="49" fontId="31" fillId="49" borderId="34" xfId="0" applyNumberFormat="1" applyFont="1" applyFill="1" applyBorder="1" applyAlignment="1" applyProtection="1">
      <alignment horizontal="left"/>
      <protection locked="0"/>
    </xf>
    <xf numFmtId="49" fontId="31" fillId="49" borderId="54" xfId="0" applyNumberFormat="1" applyFont="1" applyFill="1" applyBorder="1" applyAlignment="1" applyProtection="1">
      <alignment horizontal="left"/>
      <protection locked="0"/>
    </xf>
    <xf numFmtId="0" fontId="83" fillId="4" borderId="0" xfId="0" applyFont="1" applyFill="1" applyAlignment="1" applyProtection="1">
      <alignment horizontal="left" vertical="top" wrapText="1"/>
    </xf>
    <xf numFmtId="0" fontId="31" fillId="49" borderId="31" xfId="0" applyFont="1" applyFill="1" applyBorder="1" applyAlignment="1" applyProtection="1">
      <alignment horizontal="left" vertical="center"/>
      <protection locked="0"/>
    </xf>
    <xf numFmtId="0" fontId="31" fillId="49" borderId="37" xfId="0" applyFont="1" applyFill="1" applyBorder="1" applyAlignment="1" applyProtection="1">
      <alignment horizontal="left" vertical="center"/>
      <protection locked="0"/>
    </xf>
    <xf numFmtId="0" fontId="31" fillId="49" borderId="15" xfId="0" applyFont="1" applyFill="1" applyBorder="1" applyAlignment="1" applyProtection="1">
      <alignment horizontal="left" vertical="center"/>
      <protection locked="0"/>
    </xf>
    <xf numFmtId="0" fontId="31" fillId="49" borderId="7" xfId="0" applyFont="1" applyFill="1" applyBorder="1" applyAlignment="1" applyProtection="1">
      <alignment horizontal="left" vertical="center"/>
      <protection locked="0"/>
    </xf>
    <xf numFmtId="0" fontId="31" fillId="49" borderId="36" xfId="0" applyFont="1" applyFill="1" applyBorder="1" applyAlignment="1" applyProtection="1">
      <alignment horizontal="left" vertical="center"/>
      <protection locked="0"/>
    </xf>
    <xf numFmtId="0" fontId="31" fillId="49" borderId="47" xfId="0" applyFont="1" applyFill="1" applyBorder="1" applyAlignment="1" applyProtection="1">
      <alignment horizontal="left" vertical="center"/>
      <protection locked="0"/>
    </xf>
    <xf numFmtId="0" fontId="31" fillId="49" borderId="31" xfId="0" applyNumberFormat="1" applyFont="1" applyFill="1" applyBorder="1" applyAlignment="1" applyProtection="1">
      <alignment horizontal="left" vertical="center" wrapText="1"/>
      <protection locked="0"/>
    </xf>
    <xf numFmtId="0" fontId="31" fillId="49" borderId="37" xfId="0" applyNumberFormat="1" applyFont="1" applyFill="1" applyBorder="1" applyAlignment="1" applyProtection="1">
      <alignment horizontal="left" vertical="center"/>
      <protection locked="0"/>
    </xf>
    <xf numFmtId="0" fontId="41" fillId="49" borderId="15" xfId="0" applyFont="1" applyFill="1" applyBorder="1" applyAlignment="1" applyProtection="1">
      <alignment horizontal="left" vertical="center" wrapText="1"/>
      <protection locked="0"/>
    </xf>
    <xf numFmtId="0" fontId="41" fillId="49" borderId="7" xfId="0" applyFont="1" applyFill="1" applyBorder="1" applyAlignment="1" applyProtection="1">
      <alignment horizontal="left" vertical="center" wrapText="1"/>
      <protection locked="0"/>
    </xf>
    <xf numFmtId="0" fontId="19" fillId="49" borderId="36" xfId="1" applyFill="1" applyBorder="1" applyAlignment="1" applyProtection="1">
      <alignment horizontal="left" vertical="center"/>
      <protection locked="0"/>
    </xf>
    <xf numFmtId="0" fontId="41" fillId="49" borderId="47" xfId="0" applyFont="1" applyFill="1" applyBorder="1" applyAlignment="1" applyProtection="1">
      <alignment horizontal="left" vertical="center"/>
      <protection locked="0"/>
    </xf>
    <xf numFmtId="0" fontId="31" fillId="49" borderId="34" xfId="0" applyFont="1" applyFill="1" applyBorder="1" applyAlignment="1" applyProtection="1">
      <alignment horizontal="left" vertical="center"/>
      <protection locked="0"/>
    </xf>
    <xf numFmtId="0" fontId="31" fillId="49" borderId="54" xfId="0" applyFont="1" applyFill="1" applyBorder="1" applyAlignment="1" applyProtection="1">
      <alignment horizontal="left" vertical="center"/>
      <protection locked="0"/>
    </xf>
    <xf numFmtId="0" fontId="37" fillId="59" borderId="92" xfId="0" applyFont="1" applyFill="1" applyBorder="1" applyAlignment="1" applyProtection="1">
      <alignment horizontal="center" wrapText="1"/>
    </xf>
    <xf numFmtId="0" fontId="37" fillId="59" borderId="106" xfId="0" applyFont="1" applyFill="1" applyBorder="1" applyAlignment="1" applyProtection="1">
      <alignment horizontal="center" wrapText="1"/>
    </xf>
    <xf numFmtId="3" fontId="41" fillId="49" borderId="81" xfId="0" applyNumberFormat="1" applyFont="1" applyFill="1" applyBorder="1" applyAlignment="1" applyProtection="1">
      <alignment horizontal="center"/>
      <protection locked="0"/>
    </xf>
    <xf numFmtId="3" fontId="41" fillId="49" borderId="105" xfId="0" applyNumberFormat="1" applyFont="1" applyFill="1" applyBorder="1" applyAlignment="1" applyProtection="1">
      <alignment horizontal="center"/>
      <protection locked="0"/>
    </xf>
    <xf numFmtId="0" fontId="37" fillId="59" borderId="76" xfId="0" applyFont="1" applyFill="1" applyBorder="1" applyAlignment="1" applyProtection="1">
      <alignment horizontal="center" wrapText="1"/>
    </xf>
    <xf numFmtId="0" fontId="37" fillId="59" borderId="92" xfId="0" applyFont="1" applyFill="1" applyBorder="1" applyAlignment="1" applyProtection="1">
      <alignment horizontal="center"/>
    </xf>
    <xf numFmtId="0" fontId="37" fillId="59" borderId="106" xfId="0" applyFont="1" applyFill="1" applyBorder="1" applyAlignment="1" applyProtection="1">
      <alignment horizontal="center"/>
    </xf>
    <xf numFmtId="0" fontId="31" fillId="7" borderId="81" xfId="0" applyFont="1" applyFill="1" applyBorder="1" applyAlignment="1" applyProtection="1">
      <alignment horizontal="center"/>
    </xf>
    <xf numFmtId="0" fontId="31" fillId="7" borderId="105" xfId="0" applyFont="1" applyFill="1" applyBorder="1" applyAlignment="1" applyProtection="1">
      <alignment horizontal="center"/>
    </xf>
    <xf numFmtId="3" fontId="41" fillId="49" borderId="77" xfId="0" applyNumberFormat="1" applyFont="1" applyFill="1" applyBorder="1" applyAlignment="1" applyProtection="1">
      <alignment horizontal="center" wrapText="1"/>
      <protection locked="0"/>
    </xf>
    <xf numFmtId="3" fontId="31" fillId="10" borderId="28" xfId="0" applyNumberFormat="1" applyFont="1" applyFill="1" applyBorder="1" applyAlignment="1" applyProtection="1">
      <alignment horizontal="center"/>
    </xf>
    <xf numFmtId="0" fontId="31" fillId="10" borderId="21" xfId="0" applyFont="1" applyFill="1" applyBorder="1" applyAlignment="1" applyProtection="1">
      <alignment horizontal="center"/>
    </xf>
    <xf numFmtId="3" fontId="31" fillId="10" borderId="21" xfId="0" applyNumberFormat="1" applyFont="1" applyFill="1" applyBorder="1" applyAlignment="1" applyProtection="1">
      <alignment horizontal="center"/>
    </xf>
    <xf numFmtId="0" fontId="31" fillId="10" borderId="49" xfId="0" applyFont="1" applyFill="1" applyBorder="1" applyAlignment="1" applyProtection="1">
      <alignment horizontal="center"/>
    </xf>
    <xf numFmtId="0" fontId="31" fillId="9" borderId="34" xfId="0" applyFont="1" applyFill="1" applyBorder="1" applyAlignment="1" applyProtection="1">
      <alignment horizontal="left" vertical="top" wrapText="1"/>
    </xf>
    <xf numFmtId="0" fontId="31" fillId="9" borderId="53" xfId="0" applyFont="1" applyFill="1" applyBorder="1" applyAlignment="1" applyProtection="1">
      <alignment horizontal="left" vertical="top" wrapText="1"/>
    </xf>
    <xf numFmtId="0" fontId="31" fillId="9" borderId="83" xfId="0" applyFont="1" applyFill="1" applyBorder="1" applyAlignment="1" applyProtection="1">
      <alignment horizontal="left" vertical="top" wrapText="1"/>
    </xf>
    <xf numFmtId="0" fontId="37" fillId="59" borderId="22" xfId="0" applyFont="1" applyFill="1" applyBorder="1" applyAlignment="1" applyProtection="1">
      <alignment horizontal="center" wrapText="1"/>
    </xf>
    <xf numFmtId="0" fontId="37" fillId="59" borderId="23" xfId="0" applyFont="1" applyFill="1" applyBorder="1" applyAlignment="1" applyProtection="1">
      <alignment horizontal="center" wrapText="1"/>
    </xf>
    <xf numFmtId="0" fontId="37" fillId="59" borderId="84" xfId="0" applyFont="1" applyFill="1" applyBorder="1" applyAlignment="1" applyProtection="1">
      <alignment horizontal="center" wrapText="1"/>
    </xf>
    <xf numFmtId="0" fontId="31" fillId="9" borderId="81" xfId="0" applyFont="1" applyFill="1" applyBorder="1" applyAlignment="1" applyProtection="1">
      <alignment horizontal="left" vertical="top" wrapText="1"/>
    </xf>
    <xf numFmtId="0" fontId="31" fillId="9" borderId="73" xfId="0" applyFont="1" applyFill="1" applyBorder="1" applyAlignment="1" applyProtection="1">
      <alignment horizontal="left" vertical="top" wrapText="1"/>
    </xf>
    <xf numFmtId="0" fontId="31" fillId="9" borderId="74" xfId="0" applyFont="1" applyFill="1" applyBorder="1" applyAlignment="1" applyProtection="1">
      <alignment horizontal="left" vertical="top" wrapText="1"/>
    </xf>
    <xf numFmtId="0" fontId="33" fillId="58" borderId="34" xfId="0" applyFont="1" applyFill="1" applyBorder="1" applyAlignment="1" applyProtection="1">
      <alignment horizontal="center" wrapText="1"/>
    </xf>
    <xf numFmtId="0" fontId="33" fillId="58" borderId="53" xfId="0" applyFont="1" applyFill="1" applyBorder="1" applyAlignment="1" applyProtection="1">
      <alignment horizontal="center" wrapText="1"/>
    </xf>
    <xf numFmtId="0" fontId="33" fillId="58" borderId="83" xfId="0" applyFont="1" applyFill="1" applyBorder="1" applyAlignment="1" applyProtection="1">
      <alignment horizontal="center" wrapText="1"/>
    </xf>
    <xf numFmtId="0" fontId="85" fillId="59" borderId="102" xfId="0" applyFont="1" applyFill="1" applyBorder="1" applyAlignment="1" applyProtection="1">
      <alignment horizontal="center" vertical="center"/>
    </xf>
    <xf numFmtId="0" fontId="85" fillId="59" borderId="8" xfId="0" applyFont="1" applyFill="1" applyBorder="1" applyAlignment="1" applyProtection="1">
      <alignment horizontal="center" vertical="center"/>
    </xf>
    <xf numFmtId="0" fontId="85" fillId="59" borderId="9" xfId="0" applyFont="1" applyFill="1" applyBorder="1" applyAlignment="1" applyProtection="1">
      <alignment horizontal="center" vertical="center"/>
    </xf>
    <xf numFmtId="0" fontId="85" fillId="59" borderId="36" xfId="0" applyFont="1" applyFill="1" applyBorder="1" applyAlignment="1" applyProtection="1">
      <alignment horizontal="center" vertical="center"/>
    </xf>
    <xf numFmtId="0" fontId="85" fillId="59" borderId="40" xfId="0" applyFont="1" applyFill="1" applyBorder="1" applyAlignment="1" applyProtection="1">
      <alignment horizontal="center" vertical="center"/>
    </xf>
    <xf numFmtId="0" fontId="85" fillId="59" borderId="50" xfId="0" applyFont="1" applyFill="1" applyBorder="1" applyAlignment="1" applyProtection="1">
      <alignment horizontal="center" vertical="center"/>
    </xf>
    <xf numFmtId="0" fontId="38" fillId="58" borderId="83" xfId="0" applyFont="1" applyFill="1" applyBorder="1" applyAlignment="1" applyProtection="1">
      <alignment horizontal="center" vertical="center" wrapText="1"/>
    </xf>
    <xf numFmtId="0" fontId="42" fillId="4" borderId="0" xfId="0" applyFont="1" applyFill="1" applyAlignment="1" applyProtection="1">
      <alignment horizontal="left" vertical="center" wrapText="1"/>
    </xf>
    <xf numFmtId="0" fontId="42" fillId="4" borderId="0" xfId="0" applyFont="1" applyFill="1" applyAlignment="1" applyProtection="1">
      <alignment horizontal="left" vertical="center"/>
    </xf>
    <xf numFmtId="0" fontId="85" fillId="59" borderId="1" xfId="0" applyFont="1" applyFill="1" applyBorder="1" applyAlignment="1" applyProtection="1">
      <alignment horizontal="center" vertical="center"/>
    </xf>
    <xf numFmtId="0" fontId="85" fillId="59" borderId="104" xfId="0" applyFont="1" applyFill="1" applyBorder="1" applyAlignment="1" applyProtection="1">
      <alignment horizontal="center" vertical="center"/>
    </xf>
    <xf numFmtId="0" fontId="85" fillId="59" borderId="46" xfId="0" applyFont="1" applyFill="1" applyBorder="1" applyAlignment="1" applyProtection="1">
      <alignment horizontal="center" vertical="center"/>
    </xf>
    <xf numFmtId="0" fontId="85" fillId="59" borderId="47" xfId="0" applyFont="1" applyFill="1" applyBorder="1" applyAlignment="1" applyProtection="1">
      <alignment horizontal="center" vertical="center"/>
    </xf>
    <xf numFmtId="0" fontId="106" fillId="59" borderId="66" xfId="0" applyFont="1" applyFill="1" applyBorder="1" applyAlignment="1" applyProtection="1">
      <alignment horizontal="center"/>
    </xf>
    <xf numFmtId="0" fontId="106" fillId="59" borderId="19" xfId="0" applyFont="1" applyFill="1" applyBorder="1" applyAlignment="1" applyProtection="1">
      <alignment horizontal="center"/>
    </xf>
    <xf numFmtId="0" fontId="106" fillId="59" borderId="82" xfId="0" applyFont="1" applyFill="1" applyBorder="1" applyAlignment="1" applyProtection="1">
      <alignment horizontal="center"/>
    </xf>
    <xf numFmtId="0" fontId="41" fillId="58" borderId="4" xfId="4" applyFont="1" applyFill="1" applyBorder="1" applyAlignment="1" applyProtection="1">
      <alignment horizontal="right" vertical="center" wrapText="1"/>
    </xf>
    <xf numFmtId="0" fontId="41" fillId="58" borderId="103" xfId="4" applyFont="1" applyFill="1" applyBorder="1" applyAlignment="1" applyProtection="1">
      <alignment horizontal="right" vertical="center" wrapText="1"/>
    </xf>
    <xf numFmtId="0" fontId="31" fillId="7" borderId="34" xfId="0" applyFont="1" applyFill="1" applyBorder="1" applyAlignment="1" applyProtection="1">
      <alignment horizontal="center"/>
    </xf>
    <xf numFmtId="0" fontId="31" fillId="7" borderId="54" xfId="0" applyFont="1" applyFill="1" applyBorder="1" applyAlignment="1" applyProtection="1">
      <alignment horizontal="center"/>
    </xf>
    <xf numFmtId="0" fontId="31" fillId="4" borderId="0" xfId="0" applyFont="1" applyFill="1" applyBorder="1" applyAlignment="1" applyProtection="1">
      <alignment horizontal="left" vertical="center" wrapText="1"/>
    </xf>
    <xf numFmtId="0" fontId="83" fillId="0" borderId="8" xfId="5" applyFont="1" applyFill="1" applyBorder="1" applyAlignment="1" applyProtection="1">
      <alignment horizontal="left" wrapText="1"/>
    </xf>
    <xf numFmtId="0" fontId="83" fillId="0" borderId="9" xfId="5" applyFont="1" applyFill="1" applyBorder="1" applyAlignment="1" applyProtection="1">
      <alignment horizontal="left" wrapText="1"/>
    </xf>
    <xf numFmtId="0" fontId="37" fillId="2" borderId="36" xfId="0" applyFont="1" applyFill="1" applyBorder="1" applyAlignment="1" applyProtection="1">
      <alignment horizontal="center"/>
    </xf>
    <xf numFmtId="0" fontId="37" fillId="2" borderId="40" xfId="0" applyFont="1" applyFill="1" applyBorder="1" applyAlignment="1" applyProtection="1">
      <alignment horizontal="center"/>
    </xf>
    <xf numFmtId="0" fontId="37" fillId="2" borderId="47" xfId="0" applyFont="1" applyFill="1" applyBorder="1" applyAlignment="1" applyProtection="1">
      <alignment horizontal="center"/>
    </xf>
    <xf numFmtId="0" fontId="112" fillId="59" borderId="79" xfId="0" applyFont="1" applyFill="1" applyBorder="1" applyAlignment="1" applyProtection="1">
      <alignment horizontal="center" wrapText="1"/>
    </xf>
    <xf numFmtId="0" fontId="112" fillId="59" borderId="20" xfId="0" applyFont="1" applyFill="1" applyBorder="1" applyAlignment="1" applyProtection="1">
      <alignment horizontal="center" wrapText="1"/>
    </xf>
    <xf numFmtId="0" fontId="112" fillId="59" borderId="80" xfId="0" applyFont="1" applyFill="1" applyBorder="1" applyAlignment="1" applyProtection="1">
      <alignment horizontal="center" wrapText="1"/>
    </xf>
    <xf numFmtId="0" fontId="37" fillId="2" borderId="34" xfId="0" applyFont="1" applyFill="1" applyBorder="1" applyAlignment="1" applyProtection="1">
      <alignment horizontal="center"/>
    </xf>
    <xf numFmtId="0" fontId="37" fillId="2" borderId="54" xfId="0" applyFont="1" applyFill="1" applyBorder="1" applyAlignment="1" applyProtection="1">
      <alignment horizontal="center"/>
    </xf>
    <xf numFmtId="0" fontId="41" fillId="58" borderId="72" xfId="5" applyFont="1" applyFill="1" applyBorder="1" applyAlignment="1" applyProtection="1">
      <alignment horizontal="right" vertical="center" wrapText="1"/>
    </xf>
    <xf numFmtId="0" fontId="41" fillId="58" borderId="73" xfId="5" applyFont="1" applyFill="1" applyBorder="1" applyAlignment="1" applyProtection="1">
      <alignment horizontal="right" vertical="center" wrapText="1"/>
    </xf>
    <xf numFmtId="0" fontId="41" fillId="58" borderId="74" xfId="5" applyFont="1" applyFill="1" applyBorder="1" applyAlignment="1" applyProtection="1">
      <alignment horizontal="right" vertical="center" wrapText="1"/>
    </xf>
    <xf numFmtId="0" fontId="83" fillId="0" borderId="8" xfId="5" applyFont="1" applyFill="1" applyBorder="1" applyAlignment="1" applyProtection="1">
      <alignment horizontal="center" vertical="center" wrapText="1"/>
    </xf>
    <xf numFmtId="0" fontId="83" fillId="0" borderId="9" xfId="5" applyFont="1" applyFill="1" applyBorder="1" applyAlignment="1" applyProtection="1">
      <alignment horizontal="center" vertical="center" wrapText="1"/>
    </xf>
    <xf numFmtId="0" fontId="55" fillId="58" borderId="0" xfId="0" applyFont="1" applyFill="1" applyBorder="1" applyAlignment="1" applyProtection="1">
      <alignment horizontal="center"/>
    </xf>
    <xf numFmtId="0" fontId="31" fillId="4" borderId="0" xfId="0" applyFont="1" applyFill="1" applyBorder="1" applyAlignment="1" applyProtection="1">
      <alignment horizontal="right" vertical="top" wrapText="1"/>
    </xf>
    <xf numFmtId="0" fontId="37" fillId="59" borderId="22" xfId="0" applyFont="1" applyFill="1" applyBorder="1" applyAlignment="1" applyProtection="1">
      <alignment horizontal="center" vertical="top" wrapText="1"/>
    </xf>
    <xf numFmtId="0" fontId="37" fillId="59" borderId="84" xfId="0" applyFont="1" applyFill="1" applyBorder="1" applyAlignment="1" applyProtection="1">
      <alignment horizontal="center" vertical="top" wrapText="1"/>
    </xf>
    <xf numFmtId="0" fontId="41" fillId="43" borderId="11" xfId="0" applyFont="1" applyFill="1" applyBorder="1" applyAlignment="1" applyProtection="1">
      <alignment horizontal="right" wrapText="1"/>
    </xf>
    <xf numFmtId="0" fontId="41" fillId="43" borderId="10" xfId="0" applyFont="1" applyFill="1" applyBorder="1" applyAlignment="1" applyProtection="1">
      <alignment horizontal="right" wrapText="1"/>
    </xf>
    <xf numFmtId="0" fontId="41" fillId="43" borderId="17" xfId="0" applyFont="1" applyFill="1" applyBorder="1" applyAlignment="1" applyProtection="1">
      <alignment horizontal="right" wrapText="1"/>
    </xf>
    <xf numFmtId="0" fontId="31" fillId="43" borderId="22" xfId="0" applyFont="1" applyFill="1" applyBorder="1" applyAlignment="1" applyProtection="1">
      <alignment horizontal="right" wrapText="1"/>
    </xf>
    <xf numFmtId="0" fontId="31" fillId="43" borderId="23" xfId="0" applyFont="1" applyFill="1" applyBorder="1" applyAlignment="1" applyProtection="1">
      <alignment horizontal="right" wrapText="1"/>
    </xf>
    <xf numFmtId="0" fontId="31" fillId="43" borderId="84" xfId="0" applyFont="1" applyFill="1" applyBorder="1" applyAlignment="1" applyProtection="1">
      <alignment horizontal="right" wrapText="1"/>
    </xf>
    <xf numFmtId="0" fontId="60" fillId="43" borderId="22" xfId="0" applyFont="1" applyFill="1" applyBorder="1" applyAlignment="1" applyProtection="1">
      <alignment horizontal="right" wrapText="1"/>
    </xf>
    <xf numFmtId="0" fontId="60" fillId="43" borderId="23" xfId="0" applyFont="1" applyFill="1" applyBorder="1" applyAlignment="1" applyProtection="1">
      <alignment horizontal="right" wrapText="1"/>
    </xf>
    <xf numFmtId="0" fontId="60" fillId="43" borderId="84" xfId="0" applyFont="1" applyFill="1" applyBorder="1" applyAlignment="1" applyProtection="1">
      <alignment horizontal="right" wrapText="1"/>
    </xf>
    <xf numFmtId="0" fontId="42" fillId="43" borderId="11" xfId="0" applyFont="1" applyFill="1" applyBorder="1" applyAlignment="1" applyProtection="1">
      <alignment horizontal="right" wrapText="1"/>
    </xf>
    <xf numFmtId="0" fontId="42" fillId="43" borderId="10" xfId="0" applyFont="1" applyFill="1" applyBorder="1" applyAlignment="1" applyProtection="1">
      <alignment horizontal="right" wrapText="1"/>
    </xf>
    <xf numFmtId="0" fontId="42" fillId="43" borderId="17" xfId="0" applyFont="1" applyFill="1" applyBorder="1" applyAlignment="1" applyProtection="1">
      <alignment horizontal="right" wrapText="1"/>
    </xf>
    <xf numFmtId="0" fontId="41" fillId="0" borderId="2" xfId="0" applyFont="1" applyFill="1" applyBorder="1" applyAlignment="1" applyProtection="1">
      <alignment horizontal="center"/>
    </xf>
    <xf numFmtId="0" fontId="41" fillId="0" borderId="0" xfId="0" applyFont="1" applyFill="1" applyBorder="1" applyAlignment="1" applyProtection="1">
      <alignment horizontal="center"/>
    </xf>
    <xf numFmtId="0" fontId="37" fillId="59" borderId="22" xfId="0" applyFont="1" applyFill="1" applyBorder="1" applyAlignment="1" applyProtection="1">
      <alignment horizontal="right" wrapText="1"/>
    </xf>
    <xf numFmtId="0" fontId="37" fillId="59" borderId="23" xfId="0" applyFont="1" applyFill="1" applyBorder="1" applyAlignment="1" applyProtection="1">
      <alignment horizontal="right"/>
    </xf>
    <xf numFmtId="0" fontId="37" fillId="59" borderId="106" xfId="0" applyFont="1" applyFill="1" applyBorder="1" applyAlignment="1" applyProtection="1">
      <alignment horizontal="right"/>
    </xf>
    <xf numFmtId="0" fontId="37" fillId="59" borderId="75" xfId="0" applyFont="1" applyFill="1" applyBorder="1" applyAlignment="1" applyProtection="1">
      <alignment horizontal="right" wrapText="1"/>
    </xf>
    <xf numFmtId="0" fontId="37" fillId="59" borderId="53" xfId="0" applyFont="1" applyFill="1" applyBorder="1" applyAlignment="1" applyProtection="1">
      <alignment horizontal="right"/>
    </xf>
    <xf numFmtId="0" fontId="37" fillId="59" borderId="54" xfId="0" applyFont="1" applyFill="1" applyBorder="1" applyAlignment="1" applyProtection="1">
      <alignment horizontal="right"/>
    </xf>
    <xf numFmtId="0" fontId="37" fillId="59" borderId="53" xfId="0" applyFont="1" applyFill="1" applyBorder="1" applyAlignment="1" applyProtection="1">
      <alignment horizontal="right" wrapText="1"/>
    </xf>
    <xf numFmtId="0" fontId="37" fillId="59" borderId="54" xfId="0" applyFont="1" applyFill="1" applyBorder="1" applyAlignment="1" applyProtection="1">
      <alignment horizontal="right" wrapText="1"/>
    </xf>
    <xf numFmtId="0" fontId="37" fillId="59" borderId="72" xfId="0" applyFont="1" applyFill="1" applyBorder="1" applyAlignment="1" applyProtection="1">
      <alignment horizontal="right" wrapText="1"/>
    </xf>
    <xf numFmtId="0" fontId="37" fillId="59" borderId="73" xfId="0" applyFont="1" applyFill="1" applyBorder="1" applyAlignment="1" applyProtection="1">
      <alignment horizontal="right" wrapText="1"/>
    </xf>
    <xf numFmtId="0" fontId="37" fillId="59" borderId="105" xfId="0" applyFont="1" applyFill="1" applyBorder="1" applyAlignment="1" applyProtection="1">
      <alignment horizontal="right" wrapText="1"/>
    </xf>
    <xf numFmtId="0" fontId="31" fillId="43" borderId="11" xfId="0" applyFont="1" applyFill="1" applyBorder="1" applyAlignment="1" applyProtection="1">
      <alignment horizontal="right" wrapText="1"/>
    </xf>
    <xf numFmtId="0" fontId="31" fillId="43" borderId="10" xfId="0" applyFont="1" applyFill="1" applyBorder="1" applyAlignment="1" applyProtection="1">
      <alignment horizontal="right" wrapText="1"/>
    </xf>
    <xf numFmtId="0" fontId="31" fillId="43" borderId="17" xfId="0" applyFont="1" applyFill="1" applyBorder="1" applyAlignment="1" applyProtection="1">
      <alignment horizontal="right" wrapText="1"/>
    </xf>
    <xf numFmtId="0" fontId="31" fillId="0" borderId="0" xfId="0" applyFont="1" applyFill="1" applyBorder="1" applyAlignment="1" applyProtection="1">
      <alignment horizontal="left" vertical="top" wrapText="1"/>
    </xf>
    <xf numFmtId="0" fontId="83" fillId="4" borderId="0" xfId="5" applyFont="1" applyFill="1" applyBorder="1" applyAlignment="1" applyProtection="1">
      <alignment horizontal="left" vertical="top" wrapText="1"/>
    </xf>
    <xf numFmtId="0" fontId="31" fillId="0" borderId="0" xfId="0" applyFont="1" applyFill="1" applyBorder="1" applyAlignment="1" applyProtection="1">
      <alignment horizontal="left" vertical="center" wrapText="1"/>
    </xf>
    <xf numFmtId="0" fontId="41" fillId="4" borderId="0" xfId="0" applyFont="1" applyFill="1" applyBorder="1" applyAlignment="1" applyProtection="1">
      <alignment horizontal="right" wrapText="1"/>
    </xf>
    <xf numFmtId="0" fontId="31" fillId="58" borderId="0" xfId="0" applyFont="1" applyFill="1" applyBorder="1" applyAlignment="1" applyProtection="1">
      <alignment horizontal="left" vertical="top" wrapText="1"/>
    </xf>
    <xf numFmtId="0" fontId="35" fillId="4" borderId="2" xfId="0" applyFont="1" applyFill="1" applyBorder="1" applyAlignment="1" applyProtection="1">
      <alignment horizontal="left" wrapText="1"/>
    </xf>
    <xf numFmtId="0" fontId="35" fillId="4" borderId="0" xfId="0" applyFont="1" applyFill="1" applyBorder="1" applyAlignment="1" applyProtection="1">
      <alignment horizontal="left" wrapText="1"/>
    </xf>
    <xf numFmtId="0" fontId="37" fillId="59" borderId="34" xfId="0" applyFont="1" applyFill="1" applyBorder="1" applyAlignment="1" applyProtection="1">
      <alignment horizontal="center" vertical="center" wrapText="1"/>
    </xf>
    <xf numFmtId="0" fontId="37" fillId="59" borderId="53" xfId="0" applyFont="1" applyFill="1" applyBorder="1" applyAlignment="1" applyProtection="1">
      <alignment horizontal="center" vertical="center" wrapText="1"/>
    </xf>
    <xf numFmtId="0" fontId="37" fillId="59" borderId="54" xfId="0" applyFont="1" applyFill="1" applyBorder="1" applyAlignment="1" applyProtection="1">
      <alignment horizontal="center" vertical="center" wrapText="1"/>
    </xf>
    <xf numFmtId="0" fontId="37" fillId="59" borderId="1" xfId="0" applyFont="1" applyFill="1" applyBorder="1" applyAlignment="1" applyProtection="1">
      <alignment horizontal="center" vertical="center" wrapText="1"/>
    </xf>
    <xf numFmtId="0" fontId="37" fillId="59" borderId="9" xfId="0" applyFont="1" applyFill="1" applyBorder="1" applyAlignment="1" applyProtection="1">
      <alignment horizontal="center" vertical="center" wrapText="1"/>
    </xf>
    <xf numFmtId="0" fontId="37" fillId="59" borderId="11" xfId="0" applyFont="1" applyFill="1" applyBorder="1" applyAlignment="1" applyProtection="1">
      <alignment horizontal="center" vertical="center" wrapText="1"/>
    </xf>
    <xf numFmtId="0" fontId="37" fillId="59" borderId="10" xfId="0" applyFont="1" applyFill="1" applyBorder="1" applyAlignment="1" applyProtection="1">
      <alignment horizontal="center" vertical="center" wrapText="1"/>
    </xf>
    <xf numFmtId="0" fontId="37" fillId="59" borderId="17" xfId="0" applyFont="1" applyFill="1" applyBorder="1" applyAlignment="1" applyProtection="1">
      <alignment horizontal="center" vertical="center" wrapText="1"/>
    </xf>
    <xf numFmtId="0" fontId="38" fillId="4" borderId="5" xfId="0" applyFont="1" applyFill="1" applyBorder="1" applyAlignment="1" applyProtection="1">
      <alignment horizontal="left" wrapText="1"/>
    </xf>
    <xf numFmtId="0" fontId="38" fillId="4" borderId="6" xfId="0" applyFont="1" applyFill="1" applyBorder="1" applyAlignment="1" applyProtection="1">
      <alignment horizontal="left" wrapText="1"/>
    </xf>
    <xf numFmtId="0" fontId="55" fillId="6" borderId="0" xfId="0" applyFont="1" applyFill="1" applyBorder="1" applyAlignment="1" applyProtection="1">
      <alignment horizontal="center"/>
    </xf>
    <xf numFmtId="0" fontId="31" fillId="4" borderId="0" xfId="0" applyFont="1" applyFill="1" applyAlignment="1" applyProtection="1">
      <alignment horizontal="left" vertical="top" wrapText="1"/>
    </xf>
    <xf numFmtId="0" fontId="47" fillId="4" borderId="0" xfId="0" applyFont="1" applyFill="1" applyBorder="1" applyAlignment="1" applyProtection="1">
      <alignment horizontal="left" wrapText="1"/>
    </xf>
    <xf numFmtId="0" fontId="73" fillId="4" borderId="5" xfId="0" applyFont="1" applyFill="1" applyBorder="1" applyAlignment="1" applyProtection="1">
      <alignment horizontal="center" vertical="center" wrapText="1"/>
    </xf>
    <xf numFmtId="0" fontId="0" fillId="0" borderId="34" xfId="0" applyBorder="1" applyAlignment="1">
      <alignment horizontal="left" wrapText="1"/>
    </xf>
    <xf numFmtId="0" fontId="0" fillId="0" borderId="53" xfId="0" applyBorder="1" applyAlignment="1">
      <alignment horizontal="left" wrapText="1"/>
    </xf>
    <xf numFmtId="0" fontId="0" fillId="0" borderId="54" xfId="0" applyBorder="1" applyAlignment="1">
      <alignment horizontal="left" wrapText="1"/>
    </xf>
    <xf numFmtId="0" fontId="58" fillId="0" borderId="70" xfId="0" applyFont="1" applyBorder="1" applyAlignment="1">
      <alignment horizontal="right"/>
    </xf>
    <xf numFmtId="0" fontId="58" fillId="0" borderId="33" xfId="0" applyFont="1" applyBorder="1" applyAlignment="1">
      <alignment horizontal="right"/>
    </xf>
    <xf numFmtId="0" fontId="58" fillId="0" borderId="75" xfId="0" applyFont="1" applyBorder="1" applyAlignment="1">
      <alignment horizontal="right" wrapText="1"/>
    </xf>
    <xf numFmtId="0" fontId="58" fillId="0" borderId="53" xfId="0" applyFont="1" applyBorder="1" applyAlignment="1">
      <alignment horizontal="right" wrapText="1"/>
    </xf>
    <xf numFmtId="0" fontId="58" fillId="0" borderId="54" xfId="0" applyFont="1" applyBorder="1" applyAlignment="1">
      <alignment horizontal="right" wrapText="1"/>
    </xf>
    <xf numFmtId="0" fontId="18" fillId="0" borderId="72" xfId="0" applyFont="1" applyBorder="1" applyAlignment="1">
      <alignment horizontal="left" wrapText="1"/>
    </xf>
    <xf numFmtId="0" fontId="18" fillId="0" borderId="73" xfId="0" applyFont="1" applyBorder="1" applyAlignment="1">
      <alignment horizontal="left" wrapText="1"/>
    </xf>
    <xf numFmtId="0" fontId="18" fillId="0" borderId="74" xfId="0" applyFont="1" applyBorder="1" applyAlignment="1">
      <alignment horizontal="left" wrapText="1"/>
    </xf>
    <xf numFmtId="0" fontId="88" fillId="0" borderId="34" xfId="0" applyFont="1" applyBorder="1" applyAlignment="1">
      <alignment horizontal="left" wrapText="1"/>
    </xf>
    <xf numFmtId="0" fontId="88" fillId="0" borderId="53" xfId="0" applyFont="1" applyBorder="1" applyAlignment="1">
      <alignment horizontal="left" wrapText="1"/>
    </xf>
    <xf numFmtId="0" fontId="88" fillId="0" borderId="54" xfId="0" applyFont="1" applyBorder="1" applyAlignment="1">
      <alignment horizontal="left" wrapText="1"/>
    </xf>
    <xf numFmtId="0" fontId="0" fillId="0" borderId="33" xfId="0" applyBorder="1" applyAlignment="1">
      <alignment horizontal="left" wrapText="1"/>
    </xf>
    <xf numFmtId="0" fontId="16" fillId="0" borderId="71" xfId="0" applyFont="1" applyBorder="1" applyAlignment="1">
      <alignment horizontal="left" wrapText="1"/>
    </xf>
    <xf numFmtId="0" fontId="16" fillId="0" borderId="77" xfId="0" applyFont="1" applyBorder="1" applyAlignment="1">
      <alignment horizontal="left" wrapText="1"/>
    </xf>
    <xf numFmtId="0" fontId="89" fillId="6" borderId="34" xfId="0" applyFont="1" applyFill="1" applyBorder="1" applyAlignment="1">
      <alignment horizontal="center" wrapText="1"/>
    </xf>
    <xf numFmtId="0" fontId="89" fillId="6" borderId="54" xfId="0" applyFont="1" applyFill="1" applyBorder="1" applyAlignment="1">
      <alignment horizontal="center" wrapText="1"/>
    </xf>
    <xf numFmtId="0" fontId="18" fillId="0" borderId="4" xfId="0" applyFont="1" applyBorder="1" applyAlignment="1">
      <alignment horizontal="left" wrapText="1"/>
    </xf>
    <xf numFmtId="0" fontId="18" fillId="0" borderId="5" xfId="0" applyFont="1" applyBorder="1" applyAlignment="1">
      <alignment horizontal="left" wrapText="1"/>
    </xf>
    <xf numFmtId="0" fontId="18" fillId="0" borderId="6" xfId="0" applyFont="1" applyBorder="1" applyAlignment="1">
      <alignment horizontal="left" wrapText="1"/>
    </xf>
    <xf numFmtId="0" fontId="58" fillId="0" borderId="0" xfId="0" applyFont="1" applyAlignment="1">
      <alignment horizontal="right"/>
    </xf>
    <xf numFmtId="0" fontId="26" fillId="0" borderId="34" xfId="0" applyFont="1" applyBorder="1" applyAlignment="1">
      <alignment horizontal="left" wrapText="1"/>
    </xf>
    <xf numFmtId="0" fontId="26" fillId="0" borderId="54" xfId="0" applyFont="1" applyBorder="1" applyAlignment="1">
      <alignment horizontal="left" wrapText="1"/>
    </xf>
    <xf numFmtId="0" fontId="88" fillId="0" borderId="0" xfId="0" applyFont="1" applyBorder="1" applyAlignment="1">
      <alignment horizontal="left" wrapText="1"/>
    </xf>
    <xf numFmtId="0" fontId="16" fillId="6" borderId="33" xfId="0" applyFont="1" applyFill="1" applyBorder="1" applyAlignment="1">
      <alignment horizontal="center" wrapText="1"/>
    </xf>
    <xf numFmtId="0" fontId="16" fillId="6" borderId="70" xfId="0" applyFont="1" applyFill="1" applyBorder="1" applyAlignment="1">
      <alignment horizontal="center" wrapText="1"/>
    </xf>
    <xf numFmtId="0" fontId="58" fillId="0" borderId="0" xfId="0" applyFont="1" applyAlignment="1">
      <alignment horizontal="right" wrapText="1"/>
    </xf>
    <xf numFmtId="0" fontId="58" fillId="0" borderId="7" xfId="0" applyFont="1" applyBorder="1" applyAlignment="1">
      <alignment horizontal="right" wrapText="1"/>
    </xf>
    <xf numFmtId="0" fontId="58" fillId="0" borderId="7" xfId="0" applyFont="1" applyBorder="1" applyAlignment="1">
      <alignment horizontal="right"/>
    </xf>
    <xf numFmtId="0" fontId="90" fillId="0" borderId="0" xfId="0" applyFont="1" applyAlignment="1">
      <alignment horizontal="right" wrapText="1"/>
    </xf>
    <xf numFmtId="0" fontId="31" fillId="0" borderId="2" xfId="0" applyFont="1" applyBorder="1" applyAlignment="1">
      <alignment horizontal="left" wrapText="1"/>
    </xf>
    <xf numFmtId="0" fontId="31" fillId="0" borderId="0" xfId="0" applyFont="1" applyBorder="1" applyAlignment="1">
      <alignment horizontal="left" wrapText="1"/>
    </xf>
    <xf numFmtId="0" fontId="31" fillId="0" borderId="3" xfId="0" applyFont="1" applyBorder="1" applyAlignment="1">
      <alignment horizontal="left" wrapText="1"/>
    </xf>
    <xf numFmtId="0" fontId="41" fillId="0" borderId="0" xfId="0" applyFont="1" applyBorder="1" applyAlignment="1">
      <alignment horizontal="left" wrapText="1"/>
    </xf>
    <xf numFmtId="0" fontId="41" fillId="0" borderId="3" xfId="0" applyFont="1" applyBorder="1" applyAlignment="1">
      <alignment horizontal="left" wrapText="1"/>
    </xf>
    <xf numFmtId="4" fontId="37" fillId="2" borderId="134" xfId="0" applyNumberFormat="1" applyFont="1" applyFill="1" applyBorder="1" applyAlignment="1" applyProtection="1">
      <alignment horizontal="center"/>
    </xf>
    <xf numFmtId="0" fontId="37" fillId="2" borderId="135" xfId="0" applyFont="1" applyFill="1" applyBorder="1" applyAlignment="1" applyProtection="1">
      <alignment horizontal="center" wrapText="1"/>
    </xf>
    <xf numFmtId="0" fontId="37" fillId="2" borderId="30" xfId="0" applyFont="1" applyFill="1" applyBorder="1" applyAlignment="1" applyProtection="1">
      <alignment horizontal="center" vertical="center" wrapText="1"/>
    </xf>
    <xf numFmtId="0" fontId="37" fillId="2" borderId="35" xfId="0" applyFont="1" applyFill="1" applyBorder="1" applyAlignment="1" applyProtection="1">
      <alignment horizontal="center" vertical="center" wrapText="1"/>
    </xf>
    <xf numFmtId="0" fontId="37" fillId="2" borderId="36" xfId="0" applyFont="1" applyFill="1" applyBorder="1" applyAlignment="1" applyProtection="1">
      <alignment horizontal="center" wrapText="1"/>
    </xf>
    <xf numFmtId="0" fontId="37" fillId="2" borderId="47" xfId="0" applyFont="1" applyFill="1" applyBorder="1" applyAlignment="1" applyProtection="1">
      <alignment horizontal="center" wrapText="1"/>
    </xf>
    <xf numFmtId="0" fontId="37" fillId="2" borderId="33" xfId="0" applyFont="1" applyFill="1" applyBorder="1" applyAlignment="1" applyProtection="1">
      <alignment horizontal="center" vertical="center"/>
    </xf>
    <xf numFmtId="0" fontId="37" fillId="2" borderId="40" xfId="0" applyFont="1" applyFill="1" applyBorder="1" applyAlignment="1" applyProtection="1">
      <alignment horizontal="center" wrapText="1"/>
    </xf>
  </cellXfs>
  <cellStyles count="332">
    <cellStyle name="20% - Accent1" xfId="31" builtinId="30" customBuiltin="1"/>
    <cellStyle name="20% - Accent1 2" xfId="59"/>
    <cellStyle name="20% - Accent1 2 2" xfId="91"/>
    <cellStyle name="20% - Accent1 2 2 2" xfId="251"/>
    <cellStyle name="20% - Accent1 2 3" xfId="123"/>
    <cellStyle name="20% - Accent1 2 3 2" xfId="283"/>
    <cellStyle name="20% - Accent1 2 4" xfId="155"/>
    <cellStyle name="20% - Accent1 2 4 2" xfId="315"/>
    <cellStyle name="20% - Accent1 2 5" xfId="219"/>
    <cellStyle name="20% - Accent1 2 6" xfId="187"/>
    <cellStyle name="20% - Accent1 3" xfId="75"/>
    <cellStyle name="20% - Accent1 3 2" xfId="235"/>
    <cellStyle name="20% - Accent1 4" xfId="107"/>
    <cellStyle name="20% - Accent1 4 2" xfId="267"/>
    <cellStyle name="20% - Accent1 5" xfId="139"/>
    <cellStyle name="20% - Accent1 5 2" xfId="299"/>
    <cellStyle name="20% - Accent1 6" xfId="203"/>
    <cellStyle name="20% - Accent1 7" xfId="171"/>
    <cellStyle name="20% - Accent2" xfId="35" builtinId="34" customBuiltin="1"/>
    <cellStyle name="20% - Accent2 2" xfId="61"/>
    <cellStyle name="20% - Accent2 2 2" xfId="93"/>
    <cellStyle name="20% - Accent2 2 2 2" xfId="253"/>
    <cellStyle name="20% - Accent2 2 3" xfId="125"/>
    <cellStyle name="20% - Accent2 2 3 2" xfId="285"/>
    <cellStyle name="20% - Accent2 2 4" xfId="157"/>
    <cellStyle name="20% - Accent2 2 4 2" xfId="317"/>
    <cellStyle name="20% - Accent2 2 5" xfId="221"/>
    <cellStyle name="20% - Accent2 2 6" xfId="189"/>
    <cellStyle name="20% - Accent2 3" xfId="77"/>
    <cellStyle name="20% - Accent2 3 2" xfId="237"/>
    <cellStyle name="20% - Accent2 4" xfId="109"/>
    <cellStyle name="20% - Accent2 4 2" xfId="269"/>
    <cellStyle name="20% - Accent2 5" xfId="141"/>
    <cellStyle name="20% - Accent2 5 2" xfId="301"/>
    <cellStyle name="20% - Accent2 6" xfId="205"/>
    <cellStyle name="20% - Accent2 7" xfId="173"/>
    <cellStyle name="20% - Accent3" xfId="39" builtinId="38" customBuiltin="1"/>
    <cellStyle name="20% - Accent3 2" xfId="63"/>
    <cellStyle name="20% - Accent3 2 2" xfId="95"/>
    <cellStyle name="20% - Accent3 2 2 2" xfId="255"/>
    <cellStyle name="20% - Accent3 2 3" xfId="127"/>
    <cellStyle name="20% - Accent3 2 3 2" xfId="287"/>
    <cellStyle name="20% - Accent3 2 4" xfId="159"/>
    <cellStyle name="20% - Accent3 2 4 2" xfId="319"/>
    <cellStyle name="20% - Accent3 2 5" xfId="223"/>
    <cellStyle name="20% - Accent3 2 6" xfId="191"/>
    <cellStyle name="20% - Accent3 3" xfId="79"/>
    <cellStyle name="20% - Accent3 3 2" xfId="239"/>
    <cellStyle name="20% - Accent3 4" xfId="111"/>
    <cellStyle name="20% - Accent3 4 2" xfId="271"/>
    <cellStyle name="20% - Accent3 5" xfId="143"/>
    <cellStyle name="20% - Accent3 5 2" xfId="303"/>
    <cellStyle name="20% - Accent3 6" xfId="207"/>
    <cellStyle name="20% - Accent3 7" xfId="175"/>
    <cellStyle name="20% - Accent4" xfId="43" builtinId="42" customBuiltin="1"/>
    <cellStyle name="20% - Accent4 2" xfId="65"/>
    <cellStyle name="20% - Accent4 2 2" xfId="97"/>
    <cellStyle name="20% - Accent4 2 2 2" xfId="257"/>
    <cellStyle name="20% - Accent4 2 3" xfId="129"/>
    <cellStyle name="20% - Accent4 2 3 2" xfId="289"/>
    <cellStyle name="20% - Accent4 2 4" xfId="161"/>
    <cellStyle name="20% - Accent4 2 4 2" xfId="321"/>
    <cellStyle name="20% - Accent4 2 5" xfId="225"/>
    <cellStyle name="20% - Accent4 2 6" xfId="193"/>
    <cellStyle name="20% - Accent4 3" xfId="81"/>
    <cellStyle name="20% - Accent4 3 2" xfId="241"/>
    <cellStyle name="20% - Accent4 4" xfId="113"/>
    <cellStyle name="20% - Accent4 4 2" xfId="273"/>
    <cellStyle name="20% - Accent4 5" xfId="145"/>
    <cellStyle name="20% - Accent4 5 2" xfId="305"/>
    <cellStyle name="20% - Accent4 6" xfId="209"/>
    <cellStyle name="20% - Accent4 7" xfId="177"/>
    <cellStyle name="20% - Accent5" xfId="47" builtinId="46" customBuiltin="1"/>
    <cellStyle name="20% - Accent5 2" xfId="67"/>
    <cellStyle name="20% - Accent5 2 2" xfId="99"/>
    <cellStyle name="20% - Accent5 2 2 2" xfId="259"/>
    <cellStyle name="20% - Accent5 2 3" xfId="131"/>
    <cellStyle name="20% - Accent5 2 3 2" xfId="291"/>
    <cellStyle name="20% - Accent5 2 4" xfId="163"/>
    <cellStyle name="20% - Accent5 2 4 2" xfId="323"/>
    <cellStyle name="20% - Accent5 2 5" xfId="227"/>
    <cellStyle name="20% - Accent5 2 6" xfId="195"/>
    <cellStyle name="20% - Accent5 3" xfId="83"/>
    <cellStyle name="20% - Accent5 3 2" xfId="243"/>
    <cellStyle name="20% - Accent5 4" xfId="115"/>
    <cellStyle name="20% - Accent5 4 2" xfId="275"/>
    <cellStyle name="20% - Accent5 5" xfId="147"/>
    <cellStyle name="20% - Accent5 5 2" xfId="307"/>
    <cellStyle name="20% - Accent5 6" xfId="211"/>
    <cellStyle name="20% - Accent5 7" xfId="179"/>
    <cellStyle name="20% - Accent6" xfId="51" builtinId="50" customBuiltin="1"/>
    <cellStyle name="20% - Accent6 2" xfId="69"/>
    <cellStyle name="20% - Accent6 2 2" xfId="101"/>
    <cellStyle name="20% - Accent6 2 2 2" xfId="261"/>
    <cellStyle name="20% - Accent6 2 3" xfId="133"/>
    <cellStyle name="20% - Accent6 2 3 2" xfId="293"/>
    <cellStyle name="20% - Accent6 2 4" xfId="165"/>
    <cellStyle name="20% - Accent6 2 4 2" xfId="325"/>
    <cellStyle name="20% - Accent6 2 5" xfId="229"/>
    <cellStyle name="20% - Accent6 2 6" xfId="197"/>
    <cellStyle name="20% - Accent6 3" xfId="85"/>
    <cellStyle name="20% - Accent6 3 2" xfId="245"/>
    <cellStyle name="20% - Accent6 4" xfId="117"/>
    <cellStyle name="20% - Accent6 4 2" xfId="277"/>
    <cellStyle name="20% - Accent6 5" xfId="149"/>
    <cellStyle name="20% - Accent6 5 2" xfId="309"/>
    <cellStyle name="20% - Accent6 6" xfId="213"/>
    <cellStyle name="20% - Accent6 7" xfId="181"/>
    <cellStyle name="40% - Accent1" xfId="32" builtinId="31" customBuiltin="1"/>
    <cellStyle name="40% - Accent1 2" xfId="60"/>
    <cellStyle name="40% - Accent1 2 2" xfId="92"/>
    <cellStyle name="40% - Accent1 2 2 2" xfId="252"/>
    <cellStyle name="40% - Accent1 2 3" xfId="124"/>
    <cellStyle name="40% - Accent1 2 3 2" xfId="284"/>
    <cellStyle name="40% - Accent1 2 4" xfId="156"/>
    <cellStyle name="40% - Accent1 2 4 2" xfId="316"/>
    <cellStyle name="40% - Accent1 2 5" xfId="220"/>
    <cellStyle name="40% - Accent1 2 6" xfId="188"/>
    <cellStyle name="40% - Accent1 3" xfId="76"/>
    <cellStyle name="40% - Accent1 3 2" xfId="236"/>
    <cellStyle name="40% - Accent1 4" xfId="108"/>
    <cellStyle name="40% - Accent1 4 2" xfId="268"/>
    <cellStyle name="40% - Accent1 5" xfId="140"/>
    <cellStyle name="40% - Accent1 5 2" xfId="300"/>
    <cellStyle name="40% - Accent1 6" xfId="204"/>
    <cellStyle name="40% - Accent1 7" xfId="172"/>
    <cellStyle name="40% - Accent2" xfId="36" builtinId="35" customBuiltin="1"/>
    <cellStyle name="40% - Accent2 2" xfId="62"/>
    <cellStyle name="40% - Accent2 2 2" xfId="94"/>
    <cellStyle name="40% - Accent2 2 2 2" xfId="254"/>
    <cellStyle name="40% - Accent2 2 3" xfId="126"/>
    <cellStyle name="40% - Accent2 2 3 2" xfId="286"/>
    <cellStyle name="40% - Accent2 2 4" xfId="158"/>
    <cellStyle name="40% - Accent2 2 4 2" xfId="318"/>
    <cellStyle name="40% - Accent2 2 5" xfId="222"/>
    <cellStyle name="40% - Accent2 2 6" xfId="190"/>
    <cellStyle name="40% - Accent2 3" xfId="78"/>
    <cellStyle name="40% - Accent2 3 2" xfId="238"/>
    <cellStyle name="40% - Accent2 4" xfId="110"/>
    <cellStyle name="40% - Accent2 4 2" xfId="270"/>
    <cellStyle name="40% - Accent2 5" xfId="142"/>
    <cellStyle name="40% - Accent2 5 2" xfId="302"/>
    <cellStyle name="40% - Accent2 6" xfId="206"/>
    <cellStyle name="40% - Accent2 7" xfId="174"/>
    <cellStyle name="40% - Accent3" xfId="40" builtinId="39" customBuiltin="1"/>
    <cellStyle name="40% - Accent3 2" xfId="64"/>
    <cellStyle name="40% - Accent3 2 2" xfId="96"/>
    <cellStyle name="40% - Accent3 2 2 2" xfId="256"/>
    <cellStyle name="40% - Accent3 2 3" xfId="128"/>
    <cellStyle name="40% - Accent3 2 3 2" xfId="288"/>
    <cellStyle name="40% - Accent3 2 4" xfId="160"/>
    <cellStyle name="40% - Accent3 2 4 2" xfId="320"/>
    <cellStyle name="40% - Accent3 2 5" xfId="224"/>
    <cellStyle name="40% - Accent3 2 6" xfId="192"/>
    <cellStyle name="40% - Accent3 3" xfId="80"/>
    <cellStyle name="40% - Accent3 3 2" xfId="240"/>
    <cellStyle name="40% - Accent3 4" xfId="112"/>
    <cellStyle name="40% - Accent3 4 2" xfId="272"/>
    <cellStyle name="40% - Accent3 5" xfId="144"/>
    <cellStyle name="40% - Accent3 5 2" xfId="304"/>
    <cellStyle name="40% - Accent3 6" xfId="208"/>
    <cellStyle name="40% - Accent3 7" xfId="176"/>
    <cellStyle name="40% - Accent4" xfId="44" builtinId="43" customBuiltin="1"/>
    <cellStyle name="40% - Accent4 2" xfId="66"/>
    <cellStyle name="40% - Accent4 2 2" xfId="98"/>
    <cellStyle name="40% - Accent4 2 2 2" xfId="258"/>
    <cellStyle name="40% - Accent4 2 3" xfId="130"/>
    <cellStyle name="40% - Accent4 2 3 2" xfId="290"/>
    <cellStyle name="40% - Accent4 2 4" xfId="162"/>
    <cellStyle name="40% - Accent4 2 4 2" xfId="322"/>
    <cellStyle name="40% - Accent4 2 5" xfId="226"/>
    <cellStyle name="40% - Accent4 2 6" xfId="194"/>
    <cellStyle name="40% - Accent4 3" xfId="82"/>
    <cellStyle name="40% - Accent4 3 2" xfId="242"/>
    <cellStyle name="40% - Accent4 4" xfId="114"/>
    <cellStyle name="40% - Accent4 4 2" xfId="274"/>
    <cellStyle name="40% - Accent4 5" xfId="146"/>
    <cellStyle name="40% - Accent4 5 2" xfId="306"/>
    <cellStyle name="40% - Accent4 6" xfId="210"/>
    <cellStyle name="40% - Accent4 7" xfId="178"/>
    <cellStyle name="40% - Accent5" xfId="48" builtinId="47" customBuiltin="1"/>
    <cellStyle name="40% - Accent5 2" xfId="68"/>
    <cellStyle name="40% - Accent5 2 2" xfId="100"/>
    <cellStyle name="40% - Accent5 2 2 2" xfId="260"/>
    <cellStyle name="40% - Accent5 2 3" xfId="132"/>
    <cellStyle name="40% - Accent5 2 3 2" xfId="292"/>
    <cellStyle name="40% - Accent5 2 4" xfId="164"/>
    <cellStyle name="40% - Accent5 2 4 2" xfId="324"/>
    <cellStyle name="40% - Accent5 2 5" xfId="228"/>
    <cellStyle name="40% - Accent5 2 6" xfId="196"/>
    <cellStyle name="40% - Accent5 3" xfId="84"/>
    <cellStyle name="40% - Accent5 3 2" xfId="244"/>
    <cellStyle name="40% - Accent5 4" xfId="116"/>
    <cellStyle name="40% - Accent5 4 2" xfId="276"/>
    <cellStyle name="40% - Accent5 5" xfId="148"/>
    <cellStyle name="40% - Accent5 5 2" xfId="308"/>
    <cellStyle name="40% - Accent5 6" xfId="212"/>
    <cellStyle name="40% - Accent5 7" xfId="180"/>
    <cellStyle name="40% - Accent6" xfId="52" builtinId="51" customBuiltin="1"/>
    <cellStyle name="40% - Accent6 2" xfId="70"/>
    <cellStyle name="40% - Accent6 2 2" xfId="102"/>
    <cellStyle name="40% - Accent6 2 2 2" xfId="262"/>
    <cellStyle name="40% - Accent6 2 3" xfId="134"/>
    <cellStyle name="40% - Accent6 2 3 2" xfId="294"/>
    <cellStyle name="40% - Accent6 2 4" xfId="166"/>
    <cellStyle name="40% - Accent6 2 4 2" xfId="326"/>
    <cellStyle name="40% - Accent6 2 5" xfId="230"/>
    <cellStyle name="40% - Accent6 2 6" xfId="198"/>
    <cellStyle name="40% - Accent6 3" xfId="86"/>
    <cellStyle name="40% - Accent6 3 2" xfId="246"/>
    <cellStyle name="40% - Accent6 4" xfId="118"/>
    <cellStyle name="40% - Accent6 4 2" xfId="278"/>
    <cellStyle name="40% - Accent6 5" xfId="150"/>
    <cellStyle name="40% - Accent6 5 2" xfId="310"/>
    <cellStyle name="40% - Accent6 6" xfId="214"/>
    <cellStyle name="40% - Accent6 7" xfId="182"/>
    <cellStyle name="60% - Accent1" xfId="33" builtinId="32" customBuiltin="1"/>
    <cellStyle name="60% - Accent2" xfId="37" builtinId="36" customBuiltin="1"/>
    <cellStyle name="60% - Accent3" xfId="41" builtinId="40" customBuiltin="1"/>
    <cellStyle name="60% - Accent4" xfId="45" builtinId="44" customBuiltin="1"/>
    <cellStyle name="60% - Accent5" xfId="49" builtinId="48" customBuiltin="1"/>
    <cellStyle name="60% - Accent6" xfId="53" builtinId="52" customBuiltin="1"/>
    <cellStyle name="Accent1" xfId="30" builtinId="29" customBuiltin="1"/>
    <cellStyle name="Accent2" xfId="34" builtinId="33" customBuiltin="1"/>
    <cellStyle name="Accent3" xfId="38" builtinId="37" customBuiltin="1"/>
    <cellStyle name="Accent4" xfId="42" builtinId="41" customBuiltin="1"/>
    <cellStyle name="Accent5" xfId="46" builtinId="45" customBuiltin="1"/>
    <cellStyle name="Accent6" xfId="50" builtinId="49" customBuiltin="1"/>
    <cellStyle name="Bad" xfId="20" builtinId="27" customBuiltin="1"/>
    <cellStyle name="Calculation" xfId="24" builtinId="22" customBuiltin="1"/>
    <cellStyle name="Check Cell" xfId="26" builtinId="23" customBuiltin="1"/>
    <cellStyle name="Comma" xfId="8" builtinId="3"/>
    <cellStyle name="Comma 2" xfId="10"/>
    <cellStyle name="Comma 3" xfId="9"/>
    <cellStyle name="Comma 4" xfId="57"/>
    <cellStyle name="Comma 4 2" xfId="73"/>
    <cellStyle name="Comma 4 2 2" xfId="105"/>
    <cellStyle name="Comma 4 2 2 2" xfId="265"/>
    <cellStyle name="Comma 4 2 3" xfId="137"/>
    <cellStyle name="Comma 4 2 3 2" xfId="297"/>
    <cellStyle name="Comma 4 2 4" xfId="169"/>
    <cellStyle name="Comma 4 2 4 2" xfId="329"/>
    <cellStyle name="Comma 4 2 5" xfId="233"/>
    <cellStyle name="Comma 4 2 6" xfId="201"/>
    <cellStyle name="Comma 4 3" xfId="89"/>
    <cellStyle name="Comma 4 3 2" xfId="249"/>
    <cellStyle name="Comma 4 4" xfId="121"/>
    <cellStyle name="Comma 4 4 2" xfId="281"/>
    <cellStyle name="Comma 4 5" xfId="153"/>
    <cellStyle name="Comma 4 5 2" xfId="313"/>
    <cellStyle name="Comma 4 6" xfId="217"/>
    <cellStyle name="Comma 4 7" xfId="185"/>
    <cellStyle name="Explanatory Text" xfId="28" builtinId="53" customBuiltin="1"/>
    <cellStyle name="Good" xfId="19" builtinId="26" customBuiltin="1"/>
    <cellStyle name="Heading 1" xfId="15" builtinId="16" customBuiltin="1"/>
    <cellStyle name="Heading 2" xfId="16" builtinId="17" customBuiltin="1"/>
    <cellStyle name="Heading 3" xfId="17" builtinId="18" customBuiltin="1"/>
    <cellStyle name="Heading 4" xfId="18" builtinId="19" customBuiltin="1"/>
    <cellStyle name="Hyperlink" xfId="1" builtinId="8"/>
    <cellStyle name="Input" xfId="22" builtinId="20" customBuiltin="1"/>
    <cellStyle name="Linked Cell" xfId="25" builtinId="24" customBuiltin="1"/>
    <cellStyle name="Neutral" xfId="21" builtinId="28" customBuiltin="1"/>
    <cellStyle name="Normal" xfId="0" builtinId="0"/>
    <cellStyle name="Normal 2" xfId="7"/>
    <cellStyle name="Normal 2 2" xfId="11"/>
    <cellStyle name="Normal 2 2 2" xfId="56"/>
    <cellStyle name="Normal 3" xfId="6"/>
    <cellStyle name="Normal 3 2" xfId="331"/>
    <cellStyle name="Normal 4" xfId="54"/>
    <cellStyle name="Normal 4 2" xfId="71"/>
    <cellStyle name="Normal 4 2 2" xfId="103"/>
    <cellStyle name="Normal 4 2 2 2" xfId="263"/>
    <cellStyle name="Normal 4 2 3" xfId="135"/>
    <cellStyle name="Normal 4 2 3 2" xfId="295"/>
    <cellStyle name="Normal 4 2 4" xfId="167"/>
    <cellStyle name="Normal 4 2 4 2" xfId="327"/>
    <cellStyle name="Normal 4 2 5" xfId="231"/>
    <cellStyle name="Normal 4 2 6" xfId="199"/>
    <cellStyle name="Normal 4 3" xfId="87"/>
    <cellStyle name="Normal 4 3 2" xfId="247"/>
    <cellStyle name="Normal 4 4" xfId="119"/>
    <cellStyle name="Normal 4 4 2" xfId="279"/>
    <cellStyle name="Normal 4 5" xfId="151"/>
    <cellStyle name="Normal 4 5 2" xfId="311"/>
    <cellStyle name="Normal 4 6" xfId="215"/>
    <cellStyle name="Normal 4 7" xfId="183"/>
    <cellStyle name="Normal_ADV0704800 8 2 CMR80509 - Industrial Potable Water and Sewerage Calculator" xfId="4"/>
    <cellStyle name="Normal_AESY8302E 8 2 Res IS80215 - Water calc with BASIX (reva)" xfId="5"/>
    <cellStyle name="Note 2" xfId="58"/>
    <cellStyle name="Note 2 2" xfId="74"/>
    <cellStyle name="Note 2 2 2" xfId="106"/>
    <cellStyle name="Note 2 2 2 2" xfId="266"/>
    <cellStyle name="Note 2 2 3" xfId="138"/>
    <cellStyle name="Note 2 2 3 2" xfId="298"/>
    <cellStyle name="Note 2 2 4" xfId="170"/>
    <cellStyle name="Note 2 2 4 2" xfId="330"/>
    <cellStyle name="Note 2 2 5" xfId="234"/>
    <cellStyle name="Note 2 2 6" xfId="202"/>
    <cellStyle name="Note 2 3" xfId="90"/>
    <cellStyle name="Note 2 3 2" xfId="250"/>
    <cellStyle name="Note 2 4" xfId="122"/>
    <cellStyle name="Note 2 4 2" xfId="282"/>
    <cellStyle name="Note 2 5" xfId="154"/>
    <cellStyle name="Note 2 5 2" xfId="314"/>
    <cellStyle name="Note 2 6" xfId="218"/>
    <cellStyle name="Note 2 7" xfId="186"/>
    <cellStyle name="Output" xfId="23" builtinId="21" customBuiltin="1"/>
    <cellStyle name="Percent" xfId="2" builtinId="5"/>
    <cellStyle name="Percent 2" xfId="3"/>
    <cellStyle name="Percent 2 2" xfId="13"/>
    <cellStyle name="Percent 3" xfId="12"/>
    <cellStyle name="Percent 4" xfId="55"/>
    <cellStyle name="Percent 4 2" xfId="72"/>
    <cellStyle name="Percent 4 2 2" xfId="104"/>
    <cellStyle name="Percent 4 2 2 2" xfId="264"/>
    <cellStyle name="Percent 4 2 3" xfId="136"/>
    <cellStyle name="Percent 4 2 3 2" xfId="296"/>
    <cellStyle name="Percent 4 2 4" xfId="168"/>
    <cellStyle name="Percent 4 2 4 2" xfId="328"/>
    <cellStyle name="Percent 4 2 5" xfId="232"/>
    <cellStyle name="Percent 4 2 6" xfId="200"/>
    <cellStyle name="Percent 4 3" xfId="88"/>
    <cellStyle name="Percent 4 3 2" xfId="248"/>
    <cellStyle name="Percent 4 4" xfId="120"/>
    <cellStyle name="Percent 4 4 2" xfId="280"/>
    <cellStyle name="Percent 4 5" xfId="152"/>
    <cellStyle name="Percent 4 5 2" xfId="312"/>
    <cellStyle name="Percent 4 6" xfId="216"/>
    <cellStyle name="Percent 4 7" xfId="184"/>
    <cellStyle name="Title" xfId="14" builtinId="15" customBuiltin="1"/>
    <cellStyle name="Total" xfId="29" builtinId="25" customBuiltin="1"/>
    <cellStyle name="Warning Text" xfId="27" builtinId="11" customBuiltin="1"/>
  </cellStyles>
  <dxfs count="49">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8" tint="0.59996337778862885"/>
        </patternFill>
      </fill>
    </dxf>
    <dxf>
      <fill>
        <patternFill>
          <bgColor theme="0" tint="-0.24994659260841701"/>
        </patternFill>
      </fill>
    </dxf>
    <dxf>
      <fill>
        <patternFill>
          <bgColor rgb="FFFFFF99"/>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0" tint="-0.24994659260841701"/>
        </patternFill>
      </fill>
    </dxf>
    <dxf>
      <fill>
        <patternFill>
          <bgColor theme="8" tint="0.59996337778862885"/>
        </patternFill>
      </fill>
    </dxf>
    <dxf>
      <fill>
        <patternFill>
          <bgColor theme="0" tint="-0.24994659260841701"/>
        </patternFill>
      </fill>
    </dxf>
    <dxf>
      <fill>
        <patternFill>
          <bgColor theme="8" tint="0.59996337778862885"/>
        </patternFill>
      </fill>
    </dxf>
    <dxf>
      <fill>
        <patternFill>
          <bgColor theme="0" tint="-0.24994659260841701"/>
        </patternFill>
      </fill>
    </dxf>
    <dxf>
      <fill>
        <patternFill>
          <bgColor theme="8" tint="0.59996337778862885"/>
        </patternFill>
      </fill>
    </dxf>
    <dxf>
      <fill>
        <patternFill>
          <bgColor theme="0" tint="-0.24994659260841701"/>
        </patternFill>
      </fill>
    </dxf>
    <dxf>
      <fill>
        <patternFill>
          <bgColor theme="8" tint="0.59996337778862885"/>
        </patternFill>
      </fill>
    </dxf>
    <dxf>
      <fill>
        <patternFill>
          <bgColor theme="0" tint="-0.24994659260841701"/>
        </patternFill>
      </fill>
    </dxf>
    <dxf>
      <fill>
        <patternFill>
          <bgColor theme="8" tint="0.59996337778862885"/>
        </patternFill>
      </fill>
    </dxf>
    <dxf>
      <fill>
        <patternFill>
          <bgColor theme="0" tint="-0.24994659260841701"/>
        </patternFill>
      </fill>
    </dxf>
    <dxf>
      <fill>
        <patternFill>
          <bgColor theme="0" tint="-0.24994659260841701"/>
        </patternFill>
      </fill>
    </dxf>
    <dxf>
      <fill>
        <patternFill>
          <bgColor theme="8" tint="0.59996337778862885"/>
        </patternFill>
      </fill>
    </dxf>
    <dxf>
      <fill>
        <patternFill>
          <bgColor theme="0" tint="-0.24994659260841701"/>
        </patternFill>
      </fill>
    </dxf>
    <dxf>
      <fill>
        <patternFill>
          <bgColor theme="8" tint="0.59996337778862885"/>
        </patternFill>
      </fill>
    </dxf>
    <dxf>
      <fill>
        <patternFill>
          <bgColor theme="0" tint="-0.24994659260841701"/>
        </patternFill>
      </fill>
    </dxf>
    <dxf>
      <fill>
        <patternFill>
          <bgColor theme="8" tint="0.59996337778862885"/>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8" tint="0.59996337778862885"/>
        </patternFill>
      </fill>
    </dxf>
    <dxf>
      <fill>
        <patternFill>
          <bgColor theme="8" tint="0.59996337778862885"/>
        </patternFill>
      </fill>
    </dxf>
    <dxf>
      <font>
        <color rgb="FFFF0000"/>
      </font>
    </dxf>
    <dxf>
      <font>
        <color rgb="FFFF0000"/>
      </font>
    </dxf>
    <dxf>
      <font>
        <color rgb="FFFF0000"/>
      </font>
    </dxf>
    <dxf>
      <font>
        <b/>
        <i val="0"/>
        <color rgb="FFFF0000"/>
      </font>
    </dxf>
    <dxf>
      <font>
        <color rgb="FFFF0000"/>
      </font>
    </dxf>
    <dxf>
      <fill>
        <patternFill>
          <bgColor rgb="FFFF00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99"/>
      <color rgb="FFCCCCFF"/>
      <color rgb="FFFFFFCC"/>
      <color rgb="FFCC99FF"/>
      <color rgb="FFCC66FF"/>
      <color rgb="FFFF9933"/>
      <color rgb="FF9999FF"/>
      <color rgb="FFFF6600"/>
      <color rgb="FF8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US" sz="1200"/>
              <a:t>Annual Irrigation Demand</a:t>
            </a:r>
          </a:p>
        </c:rich>
      </c:tx>
      <c:overlay val="0"/>
    </c:title>
    <c:autoTitleDeleted val="0"/>
    <c:plotArea>
      <c:layout/>
      <c:barChart>
        <c:barDir val="col"/>
        <c:grouping val="clustered"/>
        <c:varyColors val="0"/>
        <c:ser>
          <c:idx val="0"/>
          <c:order val="0"/>
          <c:invertIfNegative val="0"/>
          <c:cat>
            <c:strRef>
              <c:f>'4. Outdoor Water Demand'!$B$42:$B$53</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'4. Outdoor Water Demand'!$G$42:$G$53</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08B6-41C9-84C1-391B21F5ABB5}"/>
            </c:ext>
          </c:extLst>
        </c:ser>
        <c:dLbls>
          <c:showLegendKey val="0"/>
          <c:showVal val="0"/>
          <c:showCatName val="0"/>
          <c:showSerName val="0"/>
          <c:showPercent val="0"/>
          <c:showBubbleSize val="0"/>
        </c:dLbls>
        <c:gapWidth val="150"/>
        <c:axId val="205164480"/>
        <c:axId val="205149456"/>
      </c:barChart>
      <c:catAx>
        <c:axId val="205164480"/>
        <c:scaling>
          <c:orientation val="minMax"/>
        </c:scaling>
        <c:delete val="0"/>
        <c:axPos val="b"/>
        <c:title>
          <c:tx>
            <c:rich>
              <a:bodyPr/>
              <a:lstStyle/>
              <a:p>
                <a:pPr>
                  <a:defRPr/>
                </a:pPr>
                <a:r>
                  <a:rPr lang="en-US"/>
                  <a:t>Month</a:t>
                </a:r>
              </a:p>
            </c:rich>
          </c:tx>
          <c:overlay val="0"/>
        </c:title>
        <c:numFmt formatCode="General" sourceLinked="0"/>
        <c:majorTickMark val="out"/>
        <c:minorTickMark val="none"/>
        <c:tickLblPos val="nextTo"/>
        <c:txPr>
          <a:bodyPr rot="-2700000" vert="horz"/>
          <a:lstStyle/>
          <a:p>
            <a:pPr>
              <a:defRPr/>
            </a:pPr>
            <a:endParaRPr lang="en-US"/>
          </a:p>
        </c:txPr>
        <c:crossAx val="205149456"/>
        <c:crosses val="autoZero"/>
        <c:auto val="1"/>
        <c:lblAlgn val="ctr"/>
        <c:lblOffset val="100"/>
        <c:noMultiLvlLbl val="0"/>
      </c:catAx>
      <c:valAx>
        <c:axId val="205149456"/>
        <c:scaling>
          <c:orientation val="minMax"/>
        </c:scaling>
        <c:delete val="0"/>
        <c:axPos val="l"/>
        <c:majorGridlines/>
        <c:title>
          <c:tx>
            <c:rich>
              <a:bodyPr rot="-5400000" vert="horz"/>
              <a:lstStyle/>
              <a:p>
                <a:pPr>
                  <a:defRPr/>
                </a:pPr>
                <a:r>
                  <a:rPr lang="en-US"/>
                  <a:t>Gallons </a:t>
                </a:r>
              </a:p>
            </c:rich>
          </c:tx>
          <c:overlay val="0"/>
        </c:title>
        <c:numFmt formatCode="#,##0" sourceLinked="0"/>
        <c:majorTickMark val="out"/>
        <c:minorTickMark val="none"/>
        <c:tickLblPos val="nextTo"/>
        <c:crossAx val="205164480"/>
        <c:crosses val="autoZero"/>
        <c:crossBetween val="between"/>
      </c:valAx>
    </c:plotArea>
    <c:plotVisOnly val="1"/>
    <c:dispBlanksAs val="gap"/>
    <c:showDLblsOverMax val="0"/>
  </c:chart>
  <c:printSettings>
    <c:headerFooter/>
    <c:pageMargins b="0.75000000000000633" l="0.70000000000000062" r="0.70000000000000062" t="0.75000000000000633"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US" sz="1200"/>
              <a:t>Annual Rainwater Supply</a:t>
            </a:r>
          </a:p>
        </c:rich>
      </c:tx>
      <c:overlay val="0"/>
    </c:title>
    <c:autoTitleDeleted val="0"/>
    <c:plotArea>
      <c:layout/>
      <c:barChart>
        <c:barDir val="col"/>
        <c:grouping val="clustered"/>
        <c:varyColors val="0"/>
        <c:ser>
          <c:idx val="0"/>
          <c:order val="0"/>
          <c:tx>
            <c:v>Rainwater</c:v>
          </c:tx>
          <c:invertIfNegative val="0"/>
          <c:cat>
            <c:strRef>
              <c:f>'5. Outdoor Non-Potable Supply'!$B$29:$B$40</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'5. Outdoor Non-Potable Supply'!$E$29:$E$40</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BA25-4C46-A54B-D2B09B252B64}"/>
            </c:ext>
          </c:extLst>
        </c:ser>
        <c:dLbls>
          <c:showLegendKey val="0"/>
          <c:showVal val="0"/>
          <c:showCatName val="0"/>
          <c:showSerName val="0"/>
          <c:showPercent val="0"/>
          <c:showBubbleSize val="0"/>
        </c:dLbls>
        <c:gapWidth val="150"/>
        <c:axId val="205098832"/>
        <c:axId val="205765192"/>
      </c:barChart>
      <c:catAx>
        <c:axId val="205098832"/>
        <c:scaling>
          <c:orientation val="minMax"/>
        </c:scaling>
        <c:delete val="0"/>
        <c:axPos val="b"/>
        <c:numFmt formatCode="General" sourceLinked="0"/>
        <c:majorTickMark val="out"/>
        <c:minorTickMark val="none"/>
        <c:tickLblPos val="nextTo"/>
        <c:crossAx val="205765192"/>
        <c:crosses val="autoZero"/>
        <c:auto val="1"/>
        <c:lblAlgn val="ctr"/>
        <c:lblOffset val="100"/>
        <c:noMultiLvlLbl val="0"/>
      </c:catAx>
      <c:valAx>
        <c:axId val="205765192"/>
        <c:scaling>
          <c:orientation val="minMax"/>
          <c:max val="100000"/>
        </c:scaling>
        <c:delete val="0"/>
        <c:axPos val="l"/>
        <c:majorGridlines/>
        <c:title>
          <c:tx>
            <c:rich>
              <a:bodyPr rot="-5400000" vert="horz"/>
              <a:lstStyle/>
              <a:p>
                <a:pPr>
                  <a:defRPr/>
                </a:pPr>
                <a:r>
                  <a:rPr lang="en-US"/>
                  <a:t>Gallons</a:t>
                </a:r>
              </a:p>
            </c:rich>
          </c:tx>
          <c:overlay val="0"/>
        </c:title>
        <c:numFmt formatCode="#,##0" sourceLinked="1"/>
        <c:majorTickMark val="out"/>
        <c:minorTickMark val="none"/>
        <c:tickLblPos val="nextTo"/>
        <c:crossAx val="205098832"/>
        <c:crosses val="autoZero"/>
        <c:crossBetween val="between"/>
      </c:valAx>
    </c:plotArea>
    <c:legend>
      <c:legendPos val="r"/>
      <c:overlay val="0"/>
    </c:legend>
    <c:plotVisOnly val="1"/>
    <c:dispBlanksAs val="gap"/>
    <c:showDLblsOverMax val="0"/>
  </c:chart>
  <c:printSettings>
    <c:headerFooter/>
    <c:pageMargins b="0.75000000000000411" l="0.70000000000000062" r="0.70000000000000062" t="0.7500000000000041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Annual Supply vs Demand</a:t>
            </a:r>
          </a:p>
        </c:rich>
      </c:tx>
      <c:overlay val="0"/>
    </c:title>
    <c:autoTitleDeleted val="0"/>
    <c:plotArea>
      <c:layout>
        <c:manualLayout>
          <c:layoutTarget val="inner"/>
          <c:xMode val="edge"/>
          <c:yMode val="edge"/>
          <c:x val="7.1600749843645131E-2"/>
          <c:y val="6.8738112146856739E-2"/>
          <c:w val="0.78459836561604257"/>
          <c:h val="0.88426847359676219"/>
        </c:manualLayout>
      </c:layout>
      <c:barChart>
        <c:barDir val="col"/>
        <c:grouping val="stacked"/>
        <c:varyColors val="0"/>
        <c:ser>
          <c:idx val="8"/>
          <c:order val="0"/>
          <c:tx>
            <c:strRef>
              <c:f>'7. Project Definition'!$B$161</c:f>
              <c:strCache>
                <c:ptCount val="1"/>
                <c:pt idx="0">
                  <c:v>Decorative Water Feature, Laundry &amp; Other Outdoor</c:v>
                </c:pt>
              </c:strCache>
            </c:strRef>
          </c:tx>
          <c:invertIfNegative val="0"/>
          <c:cat>
            <c:strRef>
              <c:f>'7. Project Definition'!$C$153:$D$153</c:f>
              <c:strCache>
                <c:ptCount val="2"/>
                <c:pt idx="0">
                  <c:v>Supply</c:v>
                </c:pt>
                <c:pt idx="1">
                  <c:v>Demand</c:v>
                </c:pt>
              </c:strCache>
            </c:strRef>
          </c:cat>
          <c:val>
            <c:numRef>
              <c:f>'7. Project Definition'!$C$161:$D$161</c:f>
              <c:numCache>
                <c:formatCode>#,##0</c:formatCode>
                <c:ptCount val="2"/>
                <c:pt idx="1">
                  <c:v>0</c:v>
                </c:pt>
              </c:numCache>
            </c:numRef>
          </c:val>
          <c:extLst>
            <c:ext xmlns:c16="http://schemas.microsoft.com/office/drawing/2014/chart" uri="{C3380CC4-5D6E-409C-BE32-E72D297353CC}">
              <c16:uniqueId val="{00000000-667D-42C3-9E2B-CE7D54B5A37A}"/>
            </c:ext>
          </c:extLst>
        </c:ser>
        <c:ser>
          <c:idx val="7"/>
          <c:order val="1"/>
          <c:tx>
            <c:strRef>
              <c:f>'7. Project Definition'!$B$160</c:f>
              <c:strCache>
                <c:ptCount val="1"/>
                <c:pt idx="0">
                  <c:v>HVAC/Cooling</c:v>
                </c:pt>
              </c:strCache>
            </c:strRef>
          </c:tx>
          <c:invertIfNegative val="0"/>
          <c:cat>
            <c:strRef>
              <c:f>'7. Project Definition'!$C$153:$D$153</c:f>
              <c:strCache>
                <c:ptCount val="2"/>
                <c:pt idx="0">
                  <c:v>Supply</c:v>
                </c:pt>
                <c:pt idx="1">
                  <c:v>Demand</c:v>
                </c:pt>
              </c:strCache>
            </c:strRef>
          </c:cat>
          <c:val>
            <c:numRef>
              <c:f>'7. Project Definition'!$C$160:$D$160</c:f>
              <c:numCache>
                <c:formatCode>#,##0</c:formatCode>
                <c:ptCount val="2"/>
                <c:pt idx="1">
                  <c:v>0</c:v>
                </c:pt>
              </c:numCache>
            </c:numRef>
          </c:val>
          <c:extLst>
            <c:ext xmlns:c16="http://schemas.microsoft.com/office/drawing/2014/chart" uri="{C3380CC4-5D6E-409C-BE32-E72D297353CC}">
              <c16:uniqueId val="{00000001-667D-42C3-9E2B-CE7D54B5A37A}"/>
            </c:ext>
          </c:extLst>
        </c:ser>
        <c:ser>
          <c:idx val="6"/>
          <c:order val="2"/>
          <c:tx>
            <c:strRef>
              <c:f>'7. Project Definition'!$B$159</c:f>
              <c:strCache>
                <c:ptCount val="1"/>
                <c:pt idx="0">
                  <c:v>Landscape Irrigation</c:v>
                </c:pt>
              </c:strCache>
            </c:strRef>
          </c:tx>
          <c:invertIfNegative val="0"/>
          <c:cat>
            <c:strRef>
              <c:f>'7. Project Definition'!$C$153:$D$153</c:f>
              <c:strCache>
                <c:ptCount val="2"/>
                <c:pt idx="0">
                  <c:v>Supply</c:v>
                </c:pt>
                <c:pt idx="1">
                  <c:v>Demand</c:v>
                </c:pt>
              </c:strCache>
            </c:strRef>
          </c:cat>
          <c:val>
            <c:numRef>
              <c:f>'7. Project Definition'!$C$159:$D$159</c:f>
              <c:numCache>
                <c:formatCode>#,##0</c:formatCode>
                <c:ptCount val="2"/>
                <c:pt idx="1">
                  <c:v>0</c:v>
                </c:pt>
              </c:numCache>
            </c:numRef>
          </c:val>
          <c:extLst>
            <c:ext xmlns:c16="http://schemas.microsoft.com/office/drawing/2014/chart" uri="{C3380CC4-5D6E-409C-BE32-E72D297353CC}">
              <c16:uniqueId val="{00000002-667D-42C3-9E2B-CE7D54B5A37A}"/>
            </c:ext>
          </c:extLst>
        </c:ser>
        <c:ser>
          <c:idx val="5"/>
          <c:order val="3"/>
          <c:tx>
            <c:strRef>
              <c:f>'7. Project Definition'!$B$158</c:f>
              <c:strCache>
                <c:ptCount val="1"/>
                <c:pt idx="0">
                  <c:v>Toilet/Urinal Flushing</c:v>
                </c:pt>
              </c:strCache>
            </c:strRef>
          </c:tx>
          <c:invertIfNegative val="0"/>
          <c:cat>
            <c:strRef>
              <c:f>'7. Project Definition'!$C$153:$D$153</c:f>
              <c:strCache>
                <c:ptCount val="2"/>
                <c:pt idx="0">
                  <c:v>Supply</c:v>
                </c:pt>
                <c:pt idx="1">
                  <c:v>Demand</c:v>
                </c:pt>
              </c:strCache>
            </c:strRef>
          </c:cat>
          <c:val>
            <c:numRef>
              <c:f>'7. Project Definition'!$C$158:$D$158</c:f>
              <c:numCache>
                <c:formatCode>#,##0</c:formatCode>
                <c:ptCount val="2"/>
                <c:pt idx="1">
                  <c:v>0</c:v>
                </c:pt>
              </c:numCache>
            </c:numRef>
          </c:val>
          <c:extLst>
            <c:ext xmlns:c16="http://schemas.microsoft.com/office/drawing/2014/chart" uri="{C3380CC4-5D6E-409C-BE32-E72D297353CC}">
              <c16:uniqueId val="{00000003-667D-42C3-9E2B-CE7D54B5A37A}"/>
            </c:ext>
          </c:extLst>
        </c:ser>
        <c:ser>
          <c:idx val="11"/>
          <c:order val="4"/>
          <c:tx>
            <c:strRef>
              <c:f>'7. Project Definition'!$B$157</c:f>
              <c:strCache>
                <c:ptCount val="1"/>
                <c:pt idx="0">
                  <c:v>Cooling &amp; Other Supplies</c:v>
                </c:pt>
              </c:strCache>
            </c:strRef>
          </c:tx>
          <c:spPr>
            <a:solidFill>
              <a:schemeClr val="accent5">
                <a:lumMod val="40000"/>
                <a:lumOff val="60000"/>
              </a:schemeClr>
            </a:solidFill>
          </c:spPr>
          <c:invertIfNegative val="0"/>
          <c:cat>
            <c:strRef>
              <c:f>'7. Project Definition'!$C$153:$D$153</c:f>
              <c:strCache>
                <c:ptCount val="2"/>
                <c:pt idx="0">
                  <c:v>Supply</c:v>
                </c:pt>
                <c:pt idx="1">
                  <c:v>Demand</c:v>
                </c:pt>
              </c:strCache>
            </c:strRef>
          </c:cat>
          <c:val>
            <c:numRef>
              <c:f>'7. Project Definition'!$C$157:$D$157</c:f>
              <c:numCache>
                <c:formatCode>General</c:formatCode>
                <c:ptCount val="2"/>
                <c:pt idx="0" formatCode="#,##0">
                  <c:v>0</c:v>
                </c:pt>
              </c:numCache>
            </c:numRef>
          </c:val>
          <c:extLst>
            <c:ext xmlns:c16="http://schemas.microsoft.com/office/drawing/2014/chart" uri="{C3380CC4-5D6E-409C-BE32-E72D297353CC}">
              <c16:uniqueId val="{00000004-667D-42C3-9E2B-CE7D54B5A37A}"/>
            </c:ext>
          </c:extLst>
        </c:ser>
        <c:ser>
          <c:idx val="3"/>
          <c:order val="5"/>
          <c:tx>
            <c:strRef>
              <c:f>'7. Project Definition'!#REF!</c:f>
              <c:strCache>
                <c:ptCount val="1"/>
                <c:pt idx="0">
                  <c:v>#REF!</c:v>
                </c:pt>
              </c:strCache>
            </c:strRef>
          </c:tx>
          <c:spPr>
            <a:solidFill>
              <a:schemeClr val="accent4"/>
            </a:solidFill>
          </c:spPr>
          <c:invertIfNegative val="0"/>
          <c:cat>
            <c:strRef>
              <c:f>'7. Project Definition'!$C$153:$D$153</c:f>
              <c:strCache>
                <c:ptCount val="2"/>
                <c:pt idx="0">
                  <c:v>Supply</c:v>
                </c:pt>
                <c:pt idx="1">
                  <c:v>Demand</c:v>
                </c:pt>
              </c:strCache>
            </c:strRef>
          </c:cat>
          <c:val>
            <c:numRef>
              <c:f>'7. Project Definition'!#REF!</c:f>
              <c:numCache>
                <c:formatCode>General</c:formatCode>
                <c:ptCount val="1"/>
                <c:pt idx="0">
                  <c:v>1</c:v>
                </c:pt>
              </c:numCache>
            </c:numRef>
          </c:val>
          <c:extLst>
            <c:ext xmlns:c16="http://schemas.microsoft.com/office/drawing/2014/chart" uri="{C3380CC4-5D6E-409C-BE32-E72D297353CC}">
              <c16:uniqueId val="{00000005-667D-42C3-9E2B-CE7D54B5A37A}"/>
            </c:ext>
          </c:extLst>
        </c:ser>
        <c:ser>
          <c:idx val="2"/>
          <c:order val="6"/>
          <c:tx>
            <c:strRef>
              <c:f>'7. Project Definition'!$B$155</c:f>
              <c:strCache>
                <c:ptCount val="1"/>
                <c:pt idx="0">
                  <c:v>Rainwater</c:v>
                </c:pt>
              </c:strCache>
            </c:strRef>
          </c:tx>
          <c:invertIfNegative val="0"/>
          <c:cat>
            <c:strRef>
              <c:f>'7. Project Definition'!$C$153:$D$153</c:f>
              <c:strCache>
                <c:ptCount val="2"/>
                <c:pt idx="0">
                  <c:v>Supply</c:v>
                </c:pt>
                <c:pt idx="1">
                  <c:v>Demand</c:v>
                </c:pt>
              </c:strCache>
            </c:strRef>
          </c:cat>
          <c:val>
            <c:numRef>
              <c:f>'7. Project Definition'!$C$155:$D$155</c:f>
              <c:numCache>
                <c:formatCode>General</c:formatCode>
                <c:ptCount val="2"/>
                <c:pt idx="0" formatCode="#,##0">
                  <c:v>0</c:v>
                </c:pt>
              </c:numCache>
            </c:numRef>
          </c:val>
          <c:extLst>
            <c:ext xmlns:c16="http://schemas.microsoft.com/office/drawing/2014/chart" uri="{C3380CC4-5D6E-409C-BE32-E72D297353CC}">
              <c16:uniqueId val="{00000006-667D-42C3-9E2B-CE7D54B5A37A}"/>
            </c:ext>
          </c:extLst>
        </c:ser>
        <c:ser>
          <c:idx val="0"/>
          <c:order val="7"/>
          <c:tx>
            <c:strRef>
              <c:f>'7. Project Definition'!#REF!</c:f>
              <c:strCache>
                <c:ptCount val="1"/>
                <c:pt idx="0">
                  <c:v>#REF!</c:v>
                </c:pt>
              </c:strCache>
            </c:strRef>
          </c:tx>
          <c:spPr>
            <a:solidFill>
              <a:schemeClr val="accent1"/>
            </a:solidFill>
          </c:spPr>
          <c:invertIfNegative val="0"/>
          <c:cat>
            <c:strRef>
              <c:f>'7. Project Definition'!$C$153:$D$153</c:f>
              <c:strCache>
                <c:ptCount val="2"/>
                <c:pt idx="0">
                  <c:v>Supply</c:v>
                </c:pt>
                <c:pt idx="1">
                  <c:v>Demand</c:v>
                </c:pt>
              </c:strCache>
            </c:strRef>
          </c:cat>
          <c:val>
            <c:numRef>
              <c:f>'7. Project Definition'!#REF!</c:f>
              <c:numCache>
                <c:formatCode>General</c:formatCode>
                <c:ptCount val="1"/>
                <c:pt idx="0">
                  <c:v>1</c:v>
                </c:pt>
              </c:numCache>
            </c:numRef>
          </c:val>
          <c:extLst>
            <c:ext xmlns:c16="http://schemas.microsoft.com/office/drawing/2014/chart" uri="{C3380CC4-5D6E-409C-BE32-E72D297353CC}">
              <c16:uniqueId val="{00000007-667D-42C3-9E2B-CE7D54B5A37A}"/>
            </c:ext>
          </c:extLst>
        </c:ser>
        <c:ser>
          <c:idx val="4"/>
          <c:order val="8"/>
          <c:tx>
            <c:strRef>
              <c:f>'7. Project Definition'!$B$156</c:f>
              <c:strCache>
                <c:ptCount val="1"/>
                <c:pt idx="0">
                  <c:v>Blackwater</c:v>
                </c:pt>
              </c:strCache>
            </c:strRef>
          </c:tx>
          <c:spPr>
            <a:solidFill>
              <a:schemeClr val="bg2">
                <a:lumMod val="75000"/>
              </a:schemeClr>
            </a:solidFill>
          </c:spPr>
          <c:invertIfNegative val="0"/>
          <c:cat>
            <c:strRef>
              <c:f>'7. Project Definition'!$C$153:$D$153</c:f>
              <c:strCache>
                <c:ptCount val="2"/>
                <c:pt idx="0">
                  <c:v>Supply</c:v>
                </c:pt>
                <c:pt idx="1">
                  <c:v>Demand</c:v>
                </c:pt>
              </c:strCache>
            </c:strRef>
          </c:cat>
          <c:val>
            <c:numRef>
              <c:f>'7. Project Definition'!$C$156:$D$156</c:f>
              <c:numCache>
                <c:formatCode>General</c:formatCode>
                <c:ptCount val="2"/>
                <c:pt idx="0" formatCode="#,##0">
                  <c:v>0</c:v>
                </c:pt>
              </c:numCache>
            </c:numRef>
          </c:val>
          <c:extLst>
            <c:ext xmlns:c16="http://schemas.microsoft.com/office/drawing/2014/chart" uri="{C3380CC4-5D6E-409C-BE32-E72D297353CC}">
              <c16:uniqueId val="{00000008-667D-42C3-9E2B-CE7D54B5A37A}"/>
            </c:ext>
          </c:extLst>
        </c:ser>
        <c:ser>
          <c:idx val="1"/>
          <c:order val="9"/>
          <c:tx>
            <c:strRef>
              <c:f>'7. Project Definition'!$B$154</c:f>
              <c:strCache>
                <c:ptCount val="1"/>
                <c:pt idx="0">
                  <c:v>Graywater</c:v>
                </c:pt>
              </c:strCache>
            </c:strRef>
          </c:tx>
          <c:spPr>
            <a:solidFill>
              <a:schemeClr val="bg1">
                <a:lumMod val="85000"/>
              </a:schemeClr>
            </a:solidFill>
          </c:spPr>
          <c:invertIfNegative val="0"/>
          <c:cat>
            <c:strRef>
              <c:f>'7. Project Definition'!$C$153:$D$153</c:f>
              <c:strCache>
                <c:ptCount val="2"/>
                <c:pt idx="0">
                  <c:v>Supply</c:v>
                </c:pt>
                <c:pt idx="1">
                  <c:v>Demand</c:v>
                </c:pt>
              </c:strCache>
            </c:strRef>
          </c:cat>
          <c:val>
            <c:numRef>
              <c:f>'7. Project Definition'!$C$154:$D$154</c:f>
              <c:numCache>
                <c:formatCode>General</c:formatCode>
                <c:ptCount val="2"/>
                <c:pt idx="0" formatCode="#,##0">
                  <c:v>0</c:v>
                </c:pt>
              </c:numCache>
            </c:numRef>
          </c:val>
          <c:extLst>
            <c:ext xmlns:c16="http://schemas.microsoft.com/office/drawing/2014/chart" uri="{C3380CC4-5D6E-409C-BE32-E72D297353CC}">
              <c16:uniqueId val="{00000009-667D-42C3-9E2B-CE7D54B5A37A}"/>
            </c:ext>
          </c:extLst>
        </c:ser>
        <c:dLbls>
          <c:showLegendKey val="0"/>
          <c:showVal val="0"/>
          <c:showCatName val="0"/>
          <c:showSerName val="0"/>
          <c:showPercent val="0"/>
          <c:showBubbleSize val="0"/>
        </c:dLbls>
        <c:gapWidth val="150"/>
        <c:overlap val="100"/>
        <c:axId val="205907688"/>
        <c:axId val="205987760"/>
      </c:barChart>
      <c:catAx>
        <c:axId val="205907688"/>
        <c:scaling>
          <c:orientation val="minMax"/>
        </c:scaling>
        <c:delete val="0"/>
        <c:axPos val="b"/>
        <c:numFmt formatCode="General" sourceLinked="0"/>
        <c:majorTickMark val="out"/>
        <c:minorTickMark val="none"/>
        <c:tickLblPos val="nextTo"/>
        <c:crossAx val="205987760"/>
        <c:crosses val="autoZero"/>
        <c:auto val="1"/>
        <c:lblAlgn val="ctr"/>
        <c:lblOffset val="100"/>
        <c:noMultiLvlLbl val="0"/>
      </c:catAx>
      <c:valAx>
        <c:axId val="205987760"/>
        <c:scaling>
          <c:orientation val="minMax"/>
        </c:scaling>
        <c:delete val="0"/>
        <c:axPos val="l"/>
        <c:majorGridlines/>
        <c:title>
          <c:tx>
            <c:rich>
              <a:bodyPr rot="-5400000" vert="horz"/>
              <a:lstStyle/>
              <a:p>
                <a:pPr>
                  <a:defRPr/>
                </a:pPr>
                <a:r>
                  <a:rPr lang="en-US"/>
                  <a:t>Volume (Gallons per Year)</a:t>
                </a:r>
              </a:p>
            </c:rich>
          </c:tx>
          <c:layout>
            <c:manualLayout>
              <c:xMode val="edge"/>
              <c:yMode val="edge"/>
              <c:x val="5.2383738717210505E-3"/>
              <c:y val="0.35538042686142524"/>
            </c:manualLayout>
          </c:layout>
          <c:overlay val="0"/>
        </c:title>
        <c:numFmt formatCode="#,##0" sourceLinked="0"/>
        <c:majorTickMark val="out"/>
        <c:minorTickMark val="none"/>
        <c:tickLblPos val="nextTo"/>
        <c:crossAx val="205907688"/>
        <c:crosses val="autoZero"/>
        <c:crossBetween val="between"/>
      </c:valAx>
    </c:plotArea>
    <c:legend>
      <c:legendPos val="r"/>
      <c:layout>
        <c:manualLayout>
          <c:xMode val="edge"/>
          <c:yMode val="edge"/>
          <c:x val="0.86740234378839653"/>
          <c:y val="8.1865498360555483E-2"/>
          <c:w val="0.11606683493972154"/>
          <c:h val="0.42635617703667533"/>
        </c:manualLayout>
      </c:layout>
      <c:overlay val="0"/>
    </c:legend>
    <c:plotVisOnly val="1"/>
    <c:dispBlanksAs val="gap"/>
    <c:showDLblsOverMax val="0"/>
  </c:chart>
  <c:spPr>
    <a:solidFill>
      <a:schemeClr val="lt1"/>
    </a:solidFill>
    <a:ln w="25400" cap="flat" cmpd="sng" algn="ctr">
      <a:solidFill>
        <a:sysClr val="windowText" lastClr="000000"/>
      </a:solidFill>
      <a:prstDash val="solid"/>
    </a:ln>
    <a:effectLst/>
  </c:spPr>
  <c:txPr>
    <a:bodyPr/>
    <a:lstStyle/>
    <a:p>
      <a:pPr>
        <a:defRPr>
          <a:solidFill>
            <a:schemeClr val="dk1"/>
          </a:solidFill>
          <a:latin typeface="+mn-lt"/>
          <a:ea typeface="+mn-ea"/>
          <a:cs typeface="+mn-cs"/>
        </a:defRPr>
      </a:pPr>
      <a:endParaRPr lang="en-US"/>
    </a:p>
  </c:txPr>
  <c:printSettings>
    <c:headerFooter/>
    <c:pageMargins b="0.750000000000004" l="0.70000000000000062" r="0.70000000000000062" t="0.750000000000004" header="0.30000000000000032" footer="0.30000000000000032"/>
    <c:pageSetup orientation="landscape" horizontalDpi="1200" verticalDpi="12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Selected On-Site Supply vs. Selected Non-Potable Demand (All Sites On-Line)</a:t>
            </a:r>
          </a:p>
        </c:rich>
      </c:tx>
      <c:layout>
        <c:manualLayout>
          <c:xMode val="edge"/>
          <c:yMode val="edge"/>
          <c:x val="0.31372507914771047"/>
          <c:y val="2.9460514112451992E-2"/>
        </c:manualLayout>
      </c:layout>
      <c:overlay val="1"/>
    </c:title>
    <c:autoTitleDeleted val="0"/>
    <c:plotArea>
      <c:layout>
        <c:manualLayout>
          <c:layoutTarget val="inner"/>
          <c:xMode val="edge"/>
          <c:yMode val="edge"/>
          <c:x val="7.9347860105002124E-2"/>
          <c:y val="0.13365824657292544"/>
          <c:w val="0.82058746333178945"/>
          <c:h val="0.76989730879396479"/>
        </c:manualLayout>
      </c:layout>
      <c:barChart>
        <c:barDir val="col"/>
        <c:grouping val="clustered"/>
        <c:varyColors val="0"/>
        <c:ser>
          <c:idx val="0"/>
          <c:order val="0"/>
          <c:tx>
            <c:v>On-site Supplies</c:v>
          </c:tx>
          <c:invertIfNegative val="0"/>
          <c:cat>
            <c:strRef>
              <c:f>'7. Project Definition'!$G$165:$R$165</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'7. Project Definition'!$G$166:$R$166</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4005-4E41-A791-BEBD69111A06}"/>
            </c:ext>
          </c:extLst>
        </c:ser>
        <c:ser>
          <c:idx val="1"/>
          <c:order val="1"/>
          <c:tx>
            <c:v>Non-potable Demands</c:v>
          </c:tx>
          <c:invertIfNegative val="0"/>
          <c:cat>
            <c:strRef>
              <c:f>'7. Project Definition'!$G$165:$R$165</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'7. Project Definition'!$G$167:$R$167</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4005-4E41-A791-BEBD69111A06}"/>
            </c:ext>
          </c:extLst>
        </c:ser>
        <c:dLbls>
          <c:showLegendKey val="0"/>
          <c:showVal val="0"/>
          <c:showCatName val="0"/>
          <c:showSerName val="0"/>
          <c:showPercent val="0"/>
          <c:showBubbleSize val="0"/>
        </c:dLbls>
        <c:gapWidth val="150"/>
        <c:axId val="205659840"/>
        <c:axId val="206258752"/>
      </c:barChart>
      <c:catAx>
        <c:axId val="205659840"/>
        <c:scaling>
          <c:orientation val="minMax"/>
        </c:scaling>
        <c:delete val="0"/>
        <c:axPos val="b"/>
        <c:numFmt formatCode="General" sourceLinked="0"/>
        <c:majorTickMark val="out"/>
        <c:minorTickMark val="none"/>
        <c:tickLblPos val="nextTo"/>
        <c:crossAx val="206258752"/>
        <c:crosses val="autoZero"/>
        <c:auto val="1"/>
        <c:lblAlgn val="ctr"/>
        <c:lblOffset val="100"/>
        <c:noMultiLvlLbl val="0"/>
      </c:catAx>
      <c:valAx>
        <c:axId val="206258752"/>
        <c:scaling>
          <c:orientation val="minMax"/>
        </c:scaling>
        <c:delete val="0"/>
        <c:axPos val="l"/>
        <c:majorGridlines/>
        <c:title>
          <c:tx>
            <c:rich>
              <a:bodyPr rot="-5400000" vert="horz"/>
              <a:lstStyle/>
              <a:p>
                <a:pPr>
                  <a:defRPr/>
                </a:pPr>
                <a:r>
                  <a:rPr lang="en-US"/>
                  <a:t>Gallons Per Month</a:t>
                </a:r>
              </a:p>
            </c:rich>
          </c:tx>
          <c:layout>
            <c:manualLayout>
              <c:xMode val="edge"/>
              <c:yMode val="edge"/>
              <c:x val="1.9205805156708507E-2"/>
              <c:y val="0.35045779149502182"/>
            </c:manualLayout>
          </c:layout>
          <c:overlay val="0"/>
        </c:title>
        <c:numFmt formatCode="#,##0" sourceLinked="1"/>
        <c:majorTickMark val="out"/>
        <c:minorTickMark val="none"/>
        <c:tickLblPos val="nextTo"/>
        <c:crossAx val="205659840"/>
        <c:crosses val="autoZero"/>
        <c:crossBetween val="between"/>
      </c:valAx>
    </c:plotArea>
    <c:legend>
      <c:legendPos val="r"/>
      <c:layout>
        <c:manualLayout>
          <c:xMode val="edge"/>
          <c:yMode val="edge"/>
          <c:x val="0.79422203491359022"/>
          <c:y val="1.8471498460906913E-2"/>
          <c:w val="0.16670349559381767"/>
          <c:h val="0.1418955656522054"/>
        </c:manualLayout>
      </c:layout>
      <c:overlay val="0"/>
      <c:spPr>
        <a:solidFill>
          <a:schemeClr val="bg1"/>
        </a:solidFill>
        <a:ln>
          <a:solidFill>
            <a:schemeClr val="tx1"/>
          </a:solidFill>
        </a:ln>
      </c:spPr>
      <c:txPr>
        <a:bodyPr/>
        <a:lstStyle/>
        <a:p>
          <a:pPr>
            <a:defRPr sz="1200" baseline="0"/>
          </a:pPr>
          <a:endParaRPr lang="en-US"/>
        </a:p>
      </c:txPr>
    </c:legend>
    <c:plotVisOnly val="1"/>
    <c:dispBlanksAs val="gap"/>
    <c:showDLblsOverMax val="0"/>
  </c:chart>
  <c:spPr>
    <a:solidFill>
      <a:schemeClr val="lt1"/>
    </a:solidFill>
    <a:ln w="25400" cap="flat" cmpd="sng" algn="ctr">
      <a:solidFill>
        <a:schemeClr val="dk1"/>
      </a:solidFill>
      <a:prstDash val="solid"/>
    </a:ln>
    <a:effectLst/>
  </c:spPr>
  <c:txPr>
    <a:bodyPr/>
    <a:lstStyle/>
    <a:p>
      <a:pPr>
        <a:defRPr>
          <a:solidFill>
            <a:schemeClr val="dk1"/>
          </a:solidFill>
          <a:latin typeface="+mn-lt"/>
          <a:ea typeface="+mn-ea"/>
          <a:cs typeface="+mn-cs"/>
        </a:defRPr>
      </a:pPr>
      <a:endParaRPr lang="en-US"/>
    </a:p>
  </c:txPr>
  <c:printSettings>
    <c:headerFooter/>
    <c:pageMargins b="0.75000000000000389" l="0.70000000000000062" r="0.70000000000000062" t="0.75000000000000389" header="0.30000000000000032" footer="0.30000000000000032"/>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Supply vs. Non-Potable Demand</a:t>
            </a:r>
          </a:p>
        </c:rich>
      </c:tx>
      <c:layout>
        <c:manualLayout>
          <c:xMode val="edge"/>
          <c:yMode val="edge"/>
          <c:x val="0.29561117130615988"/>
          <c:y val="0"/>
        </c:manualLayout>
      </c:layout>
      <c:overlay val="1"/>
    </c:title>
    <c:autoTitleDeleted val="0"/>
    <c:plotArea>
      <c:layout>
        <c:manualLayout>
          <c:layoutTarget val="inner"/>
          <c:xMode val="edge"/>
          <c:yMode val="edge"/>
          <c:x val="0.146452678709279"/>
          <c:y val="0.1336582113084302"/>
          <c:w val="0.82058746333178945"/>
          <c:h val="0.76989730879396479"/>
        </c:manualLayout>
      </c:layout>
      <c:barChart>
        <c:barDir val="col"/>
        <c:grouping val="clustered"/>
        <c:varyColors val="0"/>
        <c:ser>
          <c:idx val="0"/>
          <c:order val="0"/>
          <c:tx>
            <c:v>On-site Supplies</c:v>
          </c:tx>
          <c:invertIfNegative val="0"/>
          <c:cat>
            <c:strRef>
              <c:f>'7. Project Definition'!$G$165:$R$165</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'7. Project Definition'!$G$166:$R$166</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2417-4FB4-8869-146DC96F0346}"/>
            </c:ext>
          </c:extLst>
        </c:ser>
        <c:ser>
          <c:idx val="1"/>
          <c:order val="1"/>
          <c:tx>
            <c:v>Non-potable Demands</c:v>
          </c:tx>
          <c:invertIfNegative val="0"/>
          <c:cat>
            <c:strRef>
              <c:f>'7. Project Definition'!$G$165:$R$165</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'7. Project Definition'!$G$167:$R$167</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2417-4FB4-8869-146DC96F0346}"/>
            </c:ext>
          </c:extLst>
        </c:ser>
        <c:dLbls>
          <c:showLegendKey val="0"/>
          <c:showVal val="0"/>
          <c:showCatName val="0"/>
          <c:showSerName val="0"/>
          <c:showPercent val="0"/>
          <c:showBubbleSize val="0"/>
        </c:dLbls>
        <c:gapWidth val="150"/>
        <c:axId val="177712440"/>
        <c:axId val="177712832"/>
      </c:barChart>
      <c:catAx>
        <c:axId val="177712440"/>
        <c:scaling>
          <c:orientation val="minMax"/>
        </c:scaling>
        <c:delete val="0"/>
        <c:axPos val="b"/>
        <c:numFmt formatCode="General" sourceLinked="0"/>
        <c:majorTickMark val="out"/>
        <c:minorTickMark val="none"/>
        <c:tickLblPos val="nextTo"/>
        <c:txPr>
          <a:bodyPr/>
          <a:lstStyle/>
          <a:p>
            <a:pPr>
              <a:defRPr sz="800"/>
            </a:pPr>
            <a:endParaRPr lang="en-US"/>
          </a:p>
        </c:txPr>
        <c:crossAx val="177712832"/>
        <c:crosses val="autoZero"/>
        <c:auto val="1"/>
        <c:lblAlgn val="ctr"/>
        <c:lblOffset val="100"/>
        <c:noMultiLvlLbl val="0"/>
      </c:catAx>
      <c:valAx>
        <c:axId val="177712832"/>
        <c:scaling>
          <c:orientation val="minMax"/>
        </c:scaling>
        <c:delete val="0"/>
        <c:axPos val="l"/>
        <c:majorGridlines/>
        <c:title>
          <c:tx>
            <c:rich>
              <a:bodyPr rot="-5400000" vert="horz"/>
              <a:lstStyle/>
              <a:p>
                <a:pPr>
                  <a:defRPr/>
                </a:pPr>
                <a:r>
                  <a:rPr lang="en-US"/>
                  <a:t>Gallons Per Month</a:t>
                </a:r>
              </a:p>
            </c:rich>
          </c:tx>
          <c:layout>
            <c:manualLayout>
              <c:xMode val="edge"/>
              <c:yMode val="edge"/>
              <c:x val="1.9205805156708514E-2"/>
              <c:y val="0.35045779149502182"/>
            </c:manualLayout>
          </c:layout>
          <c:overlay val="0"/>
        </c:title>
        <c:numFmt formatCode="#,##0" sourceLinked="1"/>
        <c:majorTickMark val="out"/>
        <c:minorTickMark val="none"/>
        <c:tickLblPos val="nextTo"/>
        <c:crossAx val="177712440"/>
        <c:crosses val="autoZero"/>
        <c:crossBetween val="between"/>
      </c:valAx>
    </c:plotArea>
    <c:legend>
      <c:legendPos val="r"/>
      <c:layout>
        <c:manualLayout>
          <c:xMode val="edge"/>
          <c:yMode val="edge"/>
          <c:x val="0.76900092635480211"/>
          <c:y val="2.0322209138924664E-2"/>
          <c:w val="0.21594304782458631"/>
          <c:h val="0.1547271885132023"/>
        </c:manualLayout>
      </c:layout>
      <c:overlay val="0"/>
      <c:spPr>
        <a:solidFill>
          <a:schemeClr val="bg1">
            <a:lumMod val="95000"/>
          </a:schemeClr>
        </a:solidFill>
        <a:ln w="9525">
          <a:solidFill>
            <a:schemeClr val="tx1"/>
          </a:solidFill>
        </a:ln>
      </c:spPr>
    </c:legend>
    <c:plotVisOnly val="1"/>
    <c:dispBlanksAs val="gap"/>
    <c:showDLblsOverMax val="0"/>
  </c:chart>
  <c:printSettings>
    <c:headerFooter/>
    <c:pageMargins b="0.75000000000000411" l="0.70000000000000062" r="0.70000000000000062" t="0.750000000000004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Monthly Summary of Selected On-Site Supply vs. Selected Non-Potable Demand </a:t>
            </a:r>
          </a:p>
        </c:rich>
      </c:tx>
      <c:layout>
        <c:manualLayout>
          <c:xMode val="edge"/>
          <c:yMode val="edge"/>
          <c:x val="0.14243086816720288"/>
          <c:y val="2.9460484106153397E-2"/>
        </c:manualLayout>
      </c:layout>
      <c:overlay val="1"/>
    </c:title>
    <c:autoTitleDeleted val="0"/>
    <c:plotArea>
      <c:layout>
        <c:manualLayout>
          <c:layoutTarget val="inner"/>
          <c:xMode val="edge"/>
          <c:yMode val="edge"/>
          <c:x val="0.11536076157682862"/>
          <c:y val="0.13365824657292544"/>
          <c:w val="0.85274182849330482"/>
          <c:h val="0.71491452228265251"/>
        </c:manualLayout>
      </c:layout>
      <c:barChart>
        <c:barDir val="col"/>
        <c:grouping val="clustered"/>
        <c:varyColors val="0"/>
        <c:ser>
          <c:idx val="0"/>
          <c:order val="0"/>
          <c:tx>
            <c:v>On-site Supplies</c:v>
          </c:tx>
          <c:invertIfNegative val="0"/>
          <c:cat>
            <c:strRef>
              <c:f>'7. Project Definition'!$G$165:$R$165</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'7. Project Definition'!$G$166:$R$166</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96BA-41BB-9C15-DAC70D0BDEF5}"/>
            </c:ext>
          </c:extLst>
        </c:ser>
        <c:ser>
          <c:idx val="1"/>
          <c:order val="1"/>
          <c:tx>
            <c:v>Non-potable Demands</c:v>
          </c:tx>
          <c:invertIfNegative val="0"/>
          <c:cat>
            <c:strRef>
              <c:f>'7. Project Definition'!$G$165:$R$165</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'7. Project Definition'!$G$167:$R$167</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96BA-41BB-9C15-DAC70D0BDEF5}"/>
            </c:ext>
          </c:extLst>
        </c:ser>
        <c:dLbls>
          <c:showLegendKey val="0"/>
          <c:showVal val="0"/>
          <c:showCatName val="0"/>
          <c:showSerName val="0"/>
          <c:showPercent val="0"/>
          <c:showBubbleSize val="0"/>
        </c:dLbls>
        <c:gapWidth val="150"/>
        <c:axId val="207816376"/>
        <c:axId val="207816768"/>
      </c:barChart>
      <c:catAx>
        <c:axId val="207816376"/>
        <c:scaling>
          <c:orientation val="minMax"/>
        </c:scaling>
        <c:delete val="0"/>
        <c:axPos val="b"/>
        <c:numFmt formatCode="General" sourceLinked="0"/>
        <c:majorTickMark val="out"/>
        <c:minorTickMark val="none"/>
        <c:tickLblPos val="nextTo"/>
        <c:crossAx val="207816768"/>
        <c:crosses val="autoZero"/>
        <c:auto val="1"/>
        <c:lblAlgn val="ctr"/>
        <c:lblOffset val="100"/>
        <c:noMultiLvlLbl val="0"/>
      </c:catAx>
      <c:valAx>
        <c:axId val="207816768"/>
        <c:scaling>
          <c:orientation val="minMax"/>
        </c:scaling>
        <c:delete val="0"/>
        <c:axPos val="l"/>
        <c:majorGridlines/>
        <c:title>
          <c:tx>
            <c:rich>
              <a:bodyPr rot="-5400000" vert="horz"/>
              <a:lstStyle/>
              <a:p>
                <a:pPr>
                  <a:defRPr/>
                </a:pPr>
                <a:r>
                  <a:rPr lang="en-US"/>
                  <a:t>Gallons Per Month</a:t>
                </a:r>
              </a:p>
            </c:rich>
          </c:tx>
          <c:layout>
            <c:manualLayout>
              <c:xMode val="edge"/>
              <c:yMode val="edge"/>
              <c:x val="1.9205805156708507E-2"/>
              <c:y val="0.35045779149502182"/>
            </c:manualLayout>
          </c:layout>
          <c:overlay val="0"/>
        </c:title>
        <c:numFmt formatCode="#,##0" sourceLinked="1"/>
        <c:majorTickMark val="out"/>
        <c:minorTickMark val="none"/>
        <c:tickLblPos val="nextTo"/>
        <c:crossAx val="207816376"/>
        <c:crosses val="autoZero"/>
        <c:crossBetween val="between"/>
      </c:valAx>
    </c:plotArea>
    <c:legend>
      <c:legendPos val="r"/>
      <c:layout>
        <c:manualLayout>
          <c:xMode val="edge"/>
          <c:yMode val="edge"/>
          <c:x val="0.66817702610324925"/>
          <c:y val="0.92173888573206619"/>
          <c:w val="0.28374529711117275"/>
          <c:h val="5.5123109611298585E-2"/>
        </c:manualLayout>
      </c:layout>
      <c:overlay val="0"/>
      <c:spPr>
        <a:solidFill>
          <a:schemeClr val="bg1"/>
        </a:solidFill>
        <a:ln>
          <a:solidFill>
            <a:schemeClr val="tx1"/>
          </a:solidFill>
        </a:ln>
      </c:spPr>
      <c:txPr>
        <a:bodyPr/>
        <a:lstStyle/>
        <a:p>
          <a:pPr>
            <a:defRPr sz="1200" baseline="0"/>
          </a:pPr>
          <a:endParaRPr lang="en-US"/>
        </a:p>
      </c:txPr>
    </c:legend>
    <c:plotVisOnly val="1"/>
    <c:dispBlanksAs val="gap"/>
    <c:showDLblsOverMax val="0"/>
  </c:chart>
  <c:spPr>
    <a:solidFill>
      <a:schemeClr val="lt1"/>
    </a:solidFill>
    <a:ln w="25400" cap="flat" cmpd="sng" algn="ctr">
      <a:solidFill>
        <a:schemeClr val="dk1"/>
      </a:solidFill>
      <a:prstDash val="solid"/>
    </a:ln>
    <a:effectLst/>
  </c:spPr>
  <c:txPr>
    <a:bodyPr/>
    <a:lstStyle/>
    <a:p>
      <a:pPr>
        <a:defRPr>
          <a:solidFill>
            <a:schemeClr val="dk1"/>
          </a:solidFill>
          <a:latin typeface="+mn-lt"/>
          <a:ea typeface="+mn-ea"/>
          <a:cs typeface="+mn-cs"/>
        </a:defRPr>
      </a:pPr>
      <a:endParaRPr lang="en-US"/>
    </a:p>
  </c:txPr>
  <c:printSettings>
    <c:headerFooter/>
    <c:pageMargins b="0.75000000000000389" l="0.70000000000000062" r="0.70000000000000062" t="0.75000000000000389" header="0.30000000000000032" footer="0.30000000000000032"/>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a:t>First Online Building</a:t>
            </a:r>
          </a:p>
        </c:rich>
      </c:tx>
      <c:layout>
        <c:manualLayout>
          <c:xMode val="edge"/>
          <c:yMode val="edge"/>
          <c:x val="0.2313471945178622"/>
          <c:y val="0.81481448214048635"/>
        </c:manualLayout>
      </c:layout>
      <c:overlay val="1"/>
      <c:spPr>
        <a:solidFill>
          <a:schemeClr val="bg1"/>
        </a:solidFill>
      </c:spPr>
    </c:title>
    <c:autoTitleDeleted val="0"/>
    <c:plotArea>
      <c:layout/>
      <c:barChart>
        <c:barDir val="col"/>
        <c:grouping val="clustered"/>
        <c:varyColors val="0"/>
        <c:ser>
          <c:idx val="0"/>
          <c:order val="0"/>
          <c:tx>
            <c:v>Supply</c:v>
          </c:tx>
          <c:invertIfNegative val="0"/>
          <c:cat>
            <c:strRef>
              <c:f>'Supply-Demand by Month'!$F$30:$Q$30</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'Supply-Demand by Month'!$F$31:$Q$31</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48CB-4E26-AAF2-185ECE47EE11}"/>
            </c:ext>
          </c:extLst>
        </c:ser>
        <c:ser>
          <c:idx val="1"/>
          <c:order val="1"/>
          <c:tx>
            <c:v>Demand</c:v>
          </c:tx>
          <c:invertIfNegative val="0"/>
          <c:cat>
            <c:strRef>
              <c:f>'Supply-Demand by Month'!$F$30:$Q$30</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'Supply-Demand by Month'!$F$32:$Q$32</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48CB-4E26-AAF2-185ECE47EE11}"/>
            </c:ext>
          </c:extLst>
        </c:ser>
        <c:dLbls>
          <c:showLegendKey val="0"/>
          <c:showVal val="0"/>
          <c:showCatName val="0"/>
          <c:showSerName val="0"/>
          <c:showPercent val="0"/>
          <c:showBubbleSize val="0"/>
        </c:dLbls>
        <c:gapWidth val="150"/>
        <c:axId val="207817552"/>
        <c:axId val="207817944"/>
      </c:barChart>
      <c:catAx>
        <c:axId val="207817552"/>
        <c:scaling>
          <c:orientation val="minMax"/>
        </c:scaling>
        <c:delete val="0"/>
        <c:axPos val="b"/>
        <c:numFmt formatCode="General" sourceLinked="0"/>
        <c:majorTickMark val="out"/>
        <c:minorTickMark val="none"/>
        <c:tickLblPos val="nextTo"/>
        <c:crossAx val="207817944"/>
        <c:crosses val="autoZero"/>
        <c:auto val="1"/>
        <c:lblAlgn val="ctr"/>
        <c:lblOffset val="100"/>
        <c:noMultiLvlLbl val="0"/>
      </c:catAx>
      <c:valAx>
        <c:axId val="207817944"/>
        <c:scaling>
          <c:orientation val="minMax"/>
        </c:scaling>
        <c:delete val="0"/>
        <c:axPos val="l"/>
        <c:majorGridlines/>
        <c:numFmt formatCode="#,##0" sourceLinked="1"/>
        <c:majorTickMark val="out"/>
        <c:minorTickMark val="none"/>
        <c:tickLblPos val="nextTo"/>
        <c:crossAx val="207817552"/>
        <c:crosses val="autoZero"/>
        <c:crossBetween val="between"/>
      </c:valAx>
    </c:plotArea>
    <c:legend>
      <c:legendPos val="r"/>
      <c:overlay val="0"/>
    </c:legend>
    <c:plotVisOnly val="1"/>
    <c:dispBlanksAs val="gap"/>
    <c:showDLblsOverMax val="0"/>
  </c:chart>
  <c:printSettings>
    <c:headerFooter/>
    <c:pageMargins b="0.75000000000000078" l="0.70000000000000062" r="0.70000000000000062" t="0.75000000000000078"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US" sz="1200"/>
              <a:t>Second Online Building</a:t>
            </a:r>
          </a:p>
        </c:rich>
      </c:tx>
      <c:layout>
        <c:manualLayout>
          <c:xMode val="edge"/>
          <c:yMode val="edge"/>
          <c:x val="0.17400802903226725"/>
          <c:y val="0.80087708234879473"/>
        </c:manualLayout>
      </c:layout>
      <c:overlay val="1"/>
    </c:title>
    <c:autoTitleDeleted val="0"/>
    <c:plotArea>
      <c:layout/>
      <c:barChart>
        <c:barDir val="col"/>
        <c:grouping val="clustered"/>
        <c:varyColors val="0"/>
        <c:ser>
          <c:idx val="0"/>
          <c:order val="0"/>
          <c:tx>
            <c:v>Supply</c:v>
          </c:tx>
          <c:invertIfNegative val="0"/>
          <c:cat>
            <c:strRef>
              <c:f>'Supply-Demand by Month'!$F$30:$Q$30</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'Supply-Demand by Month'!$F$38:$Q$38</c:f>
              <c:numCache>
                <c:formatCode>#,##0</c:formatCode>
                <c:ptCount val="12"/>
                <c:pt idx="0">
                  <c:v>#N/A</c:v>
                </c:pt>
                <c:pt idx="1">
                  <c:v>#N/A</c:v>
                </c:pt>
                <c:pt idx="2">
                  <c:v>#N/A</c:v>
                </c:pt>
                <c:pt idx="3">
                  <c:v>#N/A</c:v>
                </c:pt>
                <c:pt idx="4">
                  <c:v>#N/A</c:v>
                </c:pt>
                <c:pt idx="5">
                  <c:v>#N/A</c:v>
                </c:pt>
                <c:pt idx="6">
                  <c:v>#N/A</c:v>
                </c:pt>
                <c:pt idx="7">
                  <c:v>#N/A</c:v>
                </c:pt>
                <c:pt idx="8">
                  <c:v>#N/A</c:v>
                </c:pt>
                <c:pt idx="9">
                  <c:v>#N/A</c:v>
                </c:pt>
                <c:pt idx="10">
                  <c:v>#N/A</c:v>
                </c:pt>
                <c:pt idx="11">
                  <c:v>#N/A</c:v>
                </c:pt>
              </c:numCache>
            </c:numRef>
          </c:val>
          <c:extLst>
            <c:ext xmlns:c16="http://schemas.microsoft.com/office/drawing/2014/chart" uri="{C3380CC4-5D6E-409C-BE32-E72D297353CC}">
              <c16:uniqueId val="{00000000-7081-4F39-856A-92980C2FD588}"/>
            </c:ext>
          </c:extLst>
        </c:ser>
        <c:ser>
          <c:idx val="1"/>
          <c:order val="1"/>
          <c:tx>
            <c:v>Demand</c:v>
          </c:tx>
          <c:invertIfNegative val="0"/>
          <c:cat>
            <c:strRef>
              <c:f>'Supply-Demand by Month'!$F$30:$Q$30</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'Supply-Demand by Month'!$F$39:$Q$39</c:f>
              <c:numCache>
                <c:formatCode>#,##0</c:formatCode>
                <c:ptCount val="12"/>
                <c:pt idx="0">
                  <c:v>#N/A</c:v>
                </c:pt>
                <c:pt idx="1">
                  <c:v>#N/A</c:v>
                </c:pt>
                <c:pt idx="2">
                  <c:v>#N/A</c:v>
                </c:pt>
                <c:pt idx="3">
                  <c:v>#N/A</c:v>
                </c:pt>
                <c:pt idx="4">
                  <c:v>#N/A</c:v>
                </c:pt>
                <c:pt idx="5">
                  <c:v>#N/A</c:v>
                </c:pt>
                <c:pt idx="6">
                  <c:v>#N/A</c:v>
                </c:pt>
                <c:pt idx="7">
                  <c:v>#N/A</c:v>
                </c:pt>
                <c:pt idx="8">
                  <c:v>#N/A</c:v>
                </c:pt>
                <c:pt idx="9">
                  <c:v>#N/A</c:v>
                </c:pt>
                <c:pt idx="10">
                  <c:v>#N/A</c:v>
                </c:pt>
                <c:pt idx="11">
                  <c:v>#N/A</c:v>
                </c:pt>
              </c:numCache>
            </c:numRef>
          </c:val>
          <c:extLst>
            <c:ext xmlns:c16="http://schemas.microsoft.com/office/drawing/2014/chart" uri="{C3380CC4-5D6E-409C-BE32-E72D297353CC}">
              <c16:uniqueId val="{00000001-7081-4F39-856A-92980C2FD588}"/>
            </c:ext>
          </c:extLst>
        </c:ser>
        <c:dLbls>
          <c:showLegendKey val="0"/>
          <c:showVal val="0"/>
          <c:showCatName val="0"/>
          <c:showSerName val="0"/>
          <c:showPercent val="0"/>
          <c:showBubbleSize val="0"/>
        </c:dLbls>
        <c:gapWidth val="150"/>
        <c:axId val="207815984"/>
        <c:axId val="207818728"/>
      </c:barChart>
      <c:catAx>
        <c:axId val="207815984"/>
        <c:scaling>
          <c:orientation val="minMax"/>
        </c:scaling>
        <c:delete val="0"/>
        <c:axPos val="b"/>
        <c:numFmt formatCode="General" sourceLinked="0"/>
        <c:majorTickMark val="out"/>
        <c:minorTickMark val="none"/>
        <c:tickLblPos val="nextTo"/>
        <c:crossAx val="207818728"/>
        <c:crosses val="autoZero"/>
        <c:auto val="1"/>
        <c:lblAlgn val="ctr"/>
        <c:lblOffset val="100"/>
        <c:noMultiLvlLbl val="0"/>
      </c:catAx>
      <c:valAx>
        <c:axId val="207818728"/>
        <c:scaling>
          <c:orientation val="minMax"/>
        </c:scaling>
        <c:delete val="0"/>
        <c:axPos val="l"/>
        <c:majorGridlines/>
        <c:numFmt formatCode="#,##0" sourceLinked="1"/>
        <c:majorTickMark val="out"/>
        <c:minorTickMark val="none"/>
        <c:tickLblPos val="nextTo"/>
        <c:crossAx val="207815984"/>
        <c:crosses val="autoZero"/>
        <c:crossBetween val="between"/>
      </c:valAx>
    </c:plotArea>
    <c:legend>
      <c:legendPos val="r"/>
      <c:overlay val="0"/>
    </c:legend>
    <c:plotVisOnly val="1"/>
    <c:dispBlanksAs val="gap"/>
    <c:showDLblsOverMax val="0"/>
  </c:chart>
  <c:printSettings>
    <c:headerFooter/>
    <c:pageMargins b="0.75000000000000078" l="0.70000000000000062" r="0.70000000000000062" t="0.75000000000000078"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US" sz="1200"/>
              <a:t>1st &amp; 2nd Online Buildings</a:t>
            </a:r>
          </a:p>
        </c:rich>
      </c:tx>
      <c:layout>
        <c:manualLayout>
          <c:xMode val="edge"/>
          <c:yMode val="edge"/>
          <c:x val="0.17400802903226725"/>
          <c:y val="0.80087708234879473"/>
        </c:manualLayout>
      </c:layout>
      <c:overlay val="1"/>
    </c:title>
    <c:autoTitleDeleted val="0"/>
    <c:plotArea>
      <c:layout/>
      <c:barChart>
        <c:barDir val="col"/>
        <c:grouping val="clustered"/>
        <c:varyColors val="0"/>
        <c:ser>
          <c:idx val="0"/>
          <c:order val="0"/>
          <c:tx>
            <c:v>Supply</c:v>
          </c:tx>
          <c:invertIfNegative val="0"/>
          <c:cat>
            <c:strRef>
              <c:f>'Supply-Demand by Month'!$F$30:$Q$30</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'Supply-Demand by Month'!$F$46:$Q$46</c:f>
              <c:numCache>
                <c:formatCode>#,##0</c:formatCode>
                <c:ptCount val="12"/>
                <c:pt idx="0">
                  <c:v>#N/A</c:v>
                </c:pt>
                <c:pt idx="1">
                  <c:v>#N/A</c:v>
                </c:pt>
                <c:pt idx="2">
                  <c:v>#N/A</c:v>
                </c:pt>
                <c:pt idx="3">
                  <c:v>#N/A</c:v>
                </c:pt>
                <c:pt idx="4">
                  <c:v>#N/A</c:v>
                </c:pt>
                <c:pt idx="5">
                  <c:v>#N/A</c:v>
                </c:pt>
                <c:pt idx="6">
                  <c:v>#N/A</c:v>
                </c:pt>
                <c:pt idx="7">
                  <c:v>#N/A</c:v>
                </c:pt>
                <c:pt idx="8">
                  <c:v>#N/A</c:v>
                </c:pt>
                <c:pt idx="9">
                  <c:v>#N/A</c:v>
                </c:pt>
                <c:pt idx="10">
                  <c:v>#N/A</c:v>
                </c:pt>
                <c:pt idx="11">
                  <c:v>#N/A</c:v>
                </c:pt>
              </c:numCache>
            </c:numRef>
          </c:val>
          <c:extLst>
            <c:ext xmlns:c16="http://schemas.microsoft.com/office/drawing/2014/chart" uri="{C3380CC4-5D6E-409C-BE32-E72D297353CC}">
              <c16:uniqueId val="{00000000-948D-4734-B8E2-EEF5E8070AC4}"/>
            </c:ext>
          </c:extLst>
        </c:ser>
        <c:ser>
          <c:idx val="1"/>
          <c:order val="1"/>
          <c:tx>
            <c:v>Demand</c:v>
          </c:tx>
          <c:invertIfNegative val="0"/>
          <c:cat>
            <c:strRef>
              <c:f>'Supply-Demand by Month'!$F$30:$Q$30</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'Supply-Demand by Month'!$F$47:$Q$47</c:f>
              <c:numCache>
                <c:formatCode>#,##0</c:formatCode>
                <c:ptCount val="12"/>
                <c:pt idx="0">
                  <c:v>#N/A</c:v>
                </c:pt>
                <c:pt idx="1">
                  <c:v>#N/A</c:v>
                </c:pt>
                <c:pt idx="2">
                  <c:v>#N/A</c:v>
                </c:pt>
                <c:pt idx="3">
                  <c:v>#N/A</c:v>
                </c:pt>
                <c:pt idx="4">
                  <c:v>#N/A</c:v>
                </c:pt>
                <c:pt idx="5">
                  <c:v>#N/A</c:v>
                </c:pt>
                <c:pt idx="6">
                  <c:v>#N/A</c:v>
                </c:pt>
                <c:pt idx="7">
                  <c:v>#N/A</c:v>
                </c:pt>
                <c:pt idx="8">
                  <c:v>#N/A</c:v>
                </c:pt>
                <c:pt idx="9">
                  <c:v>#N/A</c:v>
                </c:pt>
                <c:pt idx="10">
                  <c:v>#N/A</c:v>
                </c:pt>
                <c:pt idx="11">
                  <c:v>#N/A</c:v>
                </c:pt>
              </c:numCache>
            </c:numRef>
          </c:val>
          <c:extLst>
            <c:ext xmlns:c16="http://schemas.microsoft.com/office/drawing/2014/chart" uri="{C3380CC4-5D6E-409C-BE32-E72D297353CC}">
              <c16:uniqueId val="{00000001-948D-4734-B8E2-EEF5E8070AC4}"/>
            </c:ext>
          </c:extLst>
        </c:ser>
        <c:dLbls>
          <c:showLegendKey val="0"/>
          <c:showVal val="0"/>
          <c:showCatName val="0"/>
          <c:showSerName val="0"/>
          <c:showPercent val="0"/>
          <c:showBubbleSize val="0"/>
        </c:dLbls>
        <c:gapWidth val="150"/>
        <c:axId val="207819512"/>
        <c:axId val="177714792"/>
      </c:barChart>
      <c:catAx>
        <c:axId val="207819512"/>
        <c:scaling>
          <c:orientation val="minMax"/>
        </c:scaling>
        <c:delete val="0"/>
        <c:axPos val="b"/>
        <c:numFmt formatCode="General" sourceLinked="0"/>
        <c:majorTickMark val="out"/>
        <c:minorTickMark val="none"/>
        <c:tickLblPos val="nextTo"/>
        <c:crossAx val="177714792"/>
        <c:crosses val="autoZero"/>
        <c:auto val="1"/>
        <c:lblAlgn val="ctr"/>
        <c:lblOffset val="100"/>
        <c:noMultiLvlLbl val="0"/>
      </c:catAx>
      <c:valAx>
        <c:axId val="177714792"/>
        <c:scaling>
          <c:orientation val="minMax"/>
        </c:scaling>
        <c:delete val="0"/>
        <c:axPos val="l"/>
        <c:majorGridlines/>
        <c:numFmt formatCode="#,##0" sourceLinked="1"/>
        <c:majorTickMark val="out"/>
        <c:minorTickMark val="none"/>
        <c:tickLblPos val="nextTo"/>
        <c:crossAx val="207819512"/>
        <c:crosses val="autoZero"/>
        <c:crossBetween val="between"/>
      </c:valAx>
    </c:plotArea>
    <c:legend>
      <c:legendPos val="r"/>
      <c:overlay val="0"/>
    </c:legend>
    <c:plotVisOnly val="1"/>
    <c:dispBlanksAs val="gap"/>
    <c:showDLblsOverMax val="0"/>
  </c:chart>
  <c:printSettings>
    <c:headerFooter/>
    <c:pageMargins b="0.75000000000000078" l="0.70000000000000062" r="0.70000000000000062" t="0.75000000000000078"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US" sz="1200"/>
              <a:t>3rd Online Buildings</a:t>
            </a:r>
          </a:p>
        </c:rich>
      </c:tx>
      <c:layout>
        <c:manualLayout>
          <c:xMode val="edge"/>
          <c:yMode val="edge"/>
          <c:x val="0.17400802903226725"/>
          <c:y val="0.80087708234879473"/>
        </c:manualLayout>
      </c:layout>
      <c:overlay val="1"/>
    </c:title>
    <c:autoTitleDeleted val="0"/>
    <c:plotArea>
      <c:layout/>
      <c:barChart>
        <c:barDir val="col"/>
        <c:grouping val="clustered"/>
        <c:varyColors val="0"/>
        <c:ser>
          <c:idx val="0"/>
          <c:order val="0"/>
          <c:tx>
            <c:v>Supply</c:v>
          </c:tx>
          <c:invertIfNegative val="0"/>
          <c:cat>
            <c:strRef>
              <c:f>'Supply-Demand by Month'!$F$30:$Q$30</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'Supply-Demand by Month'!$F$54:$Q$54</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25C0-4A83-B663-CC76A63F993B}"/>
            </c:ext>
          </c:extLst>
        </c:ser>
        <c:ser>
          <c:idx val="1"/>
          <c:order val="1"/>
          <c:tx>
            <c:v>Demand</c:v>
          </c:tx>
          <c:invertIfNegative val="0"/>
          <c:cat>
            <c:strRef>
              <c:f>'Supply-Demand by Month'!$F$30:$Q$30</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'Supply-Demand by Month'!$F$55:$Q$55</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25C0-4A83-B663-CC76A63F993B}"/>
            </c:ext>
          </c:extLst>
        </c:ser>
        <c:dLbls>
          <c:showLegendKey val="0"/>
          <c:showVal val="0"/>
          <c:showCatName val="0"/>
          <c:showSerName val="0"/>
          <c:showPercent val="0"/>
          <c:showBubbleSize val="0"/>
        </c:dLbls>
        <c:gapWidth val="150"/>
        <c:axId val="177714008"/>
        <c:axId val="177713616"/>
      </c:barChart>
      <c:catAx>
        <c:axId val="177714008"/>
        <c:scaling>
          <c:orientation val="minMax"/>
        </c:scaling>
        <c:delete val="0"/>
        <c:axPos val="b"/>
        <c:numFmt formatCode="General" sourceLinked="0"/>
        <c:majorTickMark val="out"/>
        <c:minorTickMark val="none"/>
        <c:tickLblPos val="nextTo"/>
        <c:crossAx val="177713616"/>
        <c:crosses val="autoZero"/>
        <c:auto val="1"/>
        <c:lblAlgn val="ctr"/>
        <c:lblOffset val="100"/>
        <c:noMultiLvlLbl val="0"/>
      </c:catAx>
      <c:valAx>
        <c:axId val="177713616"/>
        <c:scaling>
          <c:orientation val="minMax"/>
        </c:scaling>
        <c:delete val="0"/>
        <c:axPos val="l"/>
        <c:majorGridlines/>
        <c:numFmt formatCode="#,##0" sourceLinked="1"/>
        <c:majorTickMark val="out"/>
        <c:minorTickMark val="none"/>
        <c:tickLblPos val="nextTo"/>
        <c:crossAx val="177714008"/>
        <c:crosses val="autoZero"/>
        <c:crossBetween val="between"/>
      </c:valAx>
    </c:plotArea>
    <c:legend>
      <c:legendPos val="r"/>
      <c:overlay val="0"/>
    </c:legend>
    <c:plotVisOnly val="1"/>
    <c:dispBlanksAs val="gap"/>
    <c:showDLblsOverMax val="0"/>
  </c:chart>
  <c:printSettings>
    <c:headerFooter/>
    <c:pageMargins b="0.75000000000000078" l="0.70000000000000062" r="0.70000000000000062" t="0.75000000000000078"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US" sz="1200"/>
              <a:t>All Buildings Online</a:t>
            </a:r>
          </a:p>
        </c:rich>
      </c:tx>
      <c:layout>
        <c:manualLayout>
          <c:xMode val="edge"/>
          <c:yMode val="edge"/>
          <c:x val="0.2869544482889515"/>
          <c:y val="0.89580697689802768"/>
        </c:manualLayout>
      </c:layout>
      <c:overlay val="1"/>
    </c:title>
    <c:autoTitleDeleted val="0"/>
    <c:plotArea>
      <c:layout/>
      <c:barChart>
        <c:barDir val="col"/>
        <c:grouping val="clustered"/>
        <c:varyColors val="0"/>
        <c:ser>
          <c:idx val="0"/>
          <c:order val="0"/>
          <c:tx>
            <c:v>Supply</c:v>
          </c:tx>
          <c:invertIfNegative val="0"/>
          <c:cat>
            <c:strRef>
              <c:f>'Supply-Demand by Month'!$F$30:$Q$30</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'Supply-Demand by Month'!$F$62:$Q$62</c:f>
              <c:numCache>
                <c:formatCode>#,##0</c:formatCode>
                <c:ptCount val="12"/>
                <c:pt idx="0">
                  <c:v>#N/A</c:v>
                </c:pt>
                <c:pt idx="1">
                  <c:v>#N/A</c:v>
                </c:pt>
                <c:pt idx="2">
                  <c:v>#N/A</c:v>
                </c:pt>
                <c:pt idx="3">
                  <c:v>#N/A</c:v>
                </c:pt>
                <c:pt idx="4">
                  <c:v>#N/A</c:v>
                </c:pt>
                <c:pt idx="5">
                  <c:v>#N/A</c:v>
                </c:pt>
                <c:pt idx="6">
                  <c:v>#N/A</c:v>
                </c:pt>
                <c:pt idx="7">
                  <c:v>#N/A</c:v>
                </c:pt>
                <c:pt idx="8">
                  <c:v>#N/A</c:v>
                </c:pt>
                <c:pt idx="9">
                  <c:v>#N/A</c:v>
                </c:pt>
                <c:pt idx="10">
                  <c:v>#N/A</c:v>
                </c:pt>
                <c:pt idx="11">
                  <c:v>#N/A</c:v>
                </c:pt>
              </c:numCache>
            </c:numRef>
          </c:val>
          <c:extLst>
            <c:ext xmlns:c16="http://schemas.microsoft.com/office/drawing/2014/chart" uri="{C3380CC4-5D6E-409C-BE32-E72D297353CC}">
              <c16:uniqueId val="{00000000-EA07-48B6-86DA-EE3257743C61}"/>
            </c:ext>
          </c:extLst>
        </c:ser>
        <c:ser>
          <c:idx val="1"/>
          <c:order val="1"/>
          <c:tx>
            <c:v>Demand</c:v>
          </c:tx>
          <c:invertIfNegative val="0"/>
          <c:cat>
            <c:strRef>
              <c:f>'Supply-Demand by Month'!$F$30:$Q$30</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'Supply-Demand by Month'!$F$63:$Q$63</c:f>
              <c:numCache>
                <c:formatCode>#,##0</c:formatCode>
                <c:ptCount val="12"/>
                <c:pt idx="0">
                  <c:v>#N/A</c:v>
                </c:pt>
                <c:pt idx="1">
                  <c:v>#N/A</c:v>
                </c:pt>
                <c:pt idx="2">
                  <c:v>#N/A</c:v>
                </c:pt>
                <c:pt idx="3">
                  <c:v>#N/A</c:v>
                </c:pt>
                <c:pt idx="4">
                  <c:v>#N/A</c:v>
                </c:pt>
                <c:pt idx="5">
                  <c:v>#N/A</c:v>
                </c:pt>
                <c:pt idx="6">
                  <c:v>#N/A</c:v>
                </c:pt>
                <c:pt idx="7">
                  <c:v>#N/A</c:v>
                </c:pt>
                <c:pt idx="8">
                  <c:v>#N/A</c:v>
                </c:pt>
                <c:pt idx="9">
                  <c:v>#N/A</c:v>
                </c:pt>
                <c:pt idx="10">
                  <c:v>#N/A</c:v>
                </c:pt>
                <c:pt idx="11">
                  <c:v>#N/A</c:v>
                </c:pt>
              </c:numCache>
            </c:numRef>
          </c:val>
          <c:extLst>
            <c:ext xmlns:c16="http://schemas.microsoft.com/office/drawing/2014/chart" uri="{C3380CC4-5D6E-409C-BE32-E72D297353CC}">
              <c16:uniqueId val="{00000001-EA07-48B6-86DA-EE3257743C61}"/>
            </c:ext>
          </c:extLst>
        </c:ser>
        <c:dLbls>
          <c:showLegendKey val="0"/>
          <c:showVal val="0"/>
          <c:showCatName val="0"/>
          <c:showSerName val="0"/>
          <c:showPercent val="0"/>
          <c:showBubbleSize val="0"/>
        </c:dLbls>
        <c:gapWidth val="150"/>
        <c:axId val="208748672"/>
        <c:axId val="208749064"/>
      </c:barChart>
      <c:catAx>
        <c:axId val="208748672"/>
        <c:scaling>
          <c:orientation val="minMax"/>
        </c:scaling>
        <c:delete val="0"/>
        <c:axPos val="b"/>
        <c:numFmt formatCode="General" sourceLinked="0"/>
        <c:majorTickMark val="out"/>
        <c:minorTickMark val="none"/>
        <c:tickLblPos val="nextTo"/>
        <c:crossAx val="208749064"/>
        <c:crosses val="autoZero"/>
        <c:auto val="1"/>
        <c:lblAlgn val="ctr"/>
        <c:lblOffset val="100"/>
        <c:noMultiLvlLbl val="0"/>
      </c:catAx>
      <c:valAx>
        <c:axId val="208749064"/>
        <c:scaling>
          <c:orientation val="minMax"/>
        </c:scaling>
        <c:delete val="0"/>
        <c:axPos val="l"/>
        <c:majorGridlines/>
        <c:numFmt formatCode="#,##0" sourceLinked="1"/>
        <c:majorTickMark val="out"/>
        <c:minorTickMark val="none"/>
        <c:tickLblPos val="nextTo"/>
        <c:crossAx val="208748672"/>
        <c:crosses val="autoZero"/>
        <c:crossBetween val="between"/>
      </c:valAx>
    </c:plotArea>
    <c:legend>
      <c:legendPos val="r"/>
      <c:overlay val="0"/>
    </c:legend>
    <c:plotVisOnly val="1"/>
    <c:dispBlanksAs val="gap"/>
    <c:showDLblsOverMax val="0"/>
  </c:chart>
  <c:printSettings>
    <c:headerFooter/>
    <c:pageMargins b="0.75000000000000078" l="0.70000000000000062" r="0.70000000000000062" t="0.75000000000000078"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chart" Target="../charts/chart6.xml"/><Relationship Id="rId1" Type="http://schemas.openxmlformats.org/officeDocument/2006/relationships/chart" Target="../charts/chart5.xml"/></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 Id="rId5" Type="http://schemas.openxmlformats.org/officeDocument/2006/relationships/chart" Target="../charts/chart11.xml"/><Relationship Id="rId4" Type="http://schemas.openxmlformats.org/officeDocument/2006/relationships/chart" Target="../charts/chart10.xml"/></Relationships>
</file>

<file path=xl/drawings/drawing1.xml><?xml version="1.0" encoding="utf-8"?>
<xdr:wsDr xmlns:xdr="http://schemas.openxmlformats.org/drawingml/2006/spreadsheetDrawing" xmlns:a="http://schemas.openxmlformats.org/drawingml/2006/main">
  <xdr:twoCellAnchor>
    <xdr:from>
      <xdr:col>15</xdr:col>
      <xdr:colOff>111694</xdr:colOff>
      <xdr:row>39</xdr:row>
      <xdr:rowOff>40864</xdr:rowOff>
    </xdr:from>
    <xdr:to>
      <xdr:col>21</xdr:col>
      <xdr:colOff>376206</xdr:colOff>
      <xdr:row>54</xdr:row>
      <xdr:rowOff>50389</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9</xdr:col>
      <xdr:colOff>275990</xdr:colOff>
      <xdr:row>25</xdr:row>
      <xdr:rowOff>416170</xdr:rowOff>
    </xdr:from>
    <xdr:to>
      <xdr:col>14</xdr:col>
      <xdr:colOff>544541</xdr:colOff>
      <xdr:row>41</xdr:row>
      <xdr:rowOff>6066</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135048</xdr:colOff>
      <xdr:row>184</xdr:row>
      <xdr:rowOff>158488</xdr:rowOff>
    </xdr:from>
    <xdr:to>
      <xdr:col>17</xdr:col>
      <xdr:colOff>947737</xdr:colOff>
      <xdr:row>229</xdr:row>
      <xdr:rowOff>88755</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144</xdr:row>
      <xdr:rowOff>129154</xdr:rowOff>
    </xdr:from>
    <xdr:to>
      <xdr:col>18</xdr:col>
      <xdr:colOff>248516</xdr:colOff>
      <xdr:row>178</xdr:row>
      <xdr:rowOff>19049</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3</xdr:col>
      <xdr:colOff>260132</xdr:colOff>
      <xdr:row>92</xdr:row>
      <xdr:rowOff>134217</xdr:rowOff>
    </xdr:from>
    <xdr:to>
      <xdr:col>14</xdr:col>
      <xdr:colOff>243464</xdr:colOff>
      <xdr:row>109</xdr:row>
      <xdr:rowOff>12510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2127253</xdr:colOff>
      <xdr:row>42</xdr:row>
      <xdr:rowOff>74082</xdr:rowOff>
    </xdr:from>
    <xdr:to>
      <xdr:col>10</xdr:col>
      <xdr:colOff>433918</xdr:colOff>
      <xdr:row>50</xdr:row>
      <xdr:rowOff>31751</xdr:rowOff>
    </xdr:to>
    <xdr:sp macro="" textlink="">
      <xdr:nvSpPr>
        <xdr:cNvPr id="5" name="TextBox 4"/>
        <xdr:cNvSpPr txBox="1"/>
      </xdr:nvSpPr>
      <xdr:spPr>
        <a:xfrm>
          <a:off x="9472086" y="9937749"/>
          <a:ext cx="2381249" cy="129116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This offset analysis assumes </a:t>
          </a:r>
          <a:r>
            <a:rPr lang="en-US" sz="1100" baseline="0">
              <a:solidFill>
                <a:schemeClr val="dk1"/>
              </a:solidFill>
              <a:effectLst/>
              <a:latin typeface="+mn-lt"/>
              <a:ea typeface="+mn-ea"/>
              <a:cs typeface="+mn-cs"/>
            </a:rPr>
            <a:t> the full year of supplies is available to offset non-potable demands.  Some scenarios may require storage to  store excess supplies from one month in order to use those supplies in  another month with unmet demands.</a:t>
          </a:r>
          <a:endParaRPr lang="en-US">
            <a:effectLst/>
          </a:endParaRPr>
        </a:p>
      </xdr:txBody>
    </xdr:sp>
    <xdr:clientData/>
  </xdr:twoCellAnchor>
  <xdr:twoCellAnchor>
    <xdr:from>
      <xdr:col>0</xdr:col>
      <xdr:colOff>320145</xdr:colOff>
      <xdr:row>54</xdr:row>
      <xdr:rowOff>19844</xdr:rowOff>
    </xdr:from>
    <xdr:to>
      <xdr:col>10</xdr:col>
      <xdr:colOff>739509</xdr:colOff>
      <xdr:row>143</xdr:row>
      <xdr:rowOff>146844</xdr:rowOff>
    </xdr:to>
    <xdr:graphicFrame macro="">
      <xdr:nvGraphicFramePr>
        <xdr:cNvPr id="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9</xdr:col>
      <xdr:colOff>176892</xdr:colOff>
      <xdr:row>2</xdr:row>
      <xdr:rowOff>27213</xdr:rowOff>
    </xdr:from>
    <xdr:to>
      <xdr:col>10</xdr:col>
      <xdr:colOff>734785</xdr:colOff>
      <xdr:row>6</xdr:row>
      <xdr:rowOff>68035</xdr:rowOff>
    </xdr:to>
    <xdr:pic>
      <xdr:nvPicPr>
        <xdr:cNvPr id="6" name="Picture 5" descr="http://harborlab.files.wordpress.com/2013/07/dep-logo-color2.jpg"/>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1103428" y="666749"/>
          <a:ext cx="1061357" cy="775607"/>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9</xdr:col>
      <xdr:colOff>328084</xdr:colOff>
      <xdr:row>1</xdr:row>
      <xdr:rowOff>63500</xdr:rowOff>
    </xdr:from>
    <xdr:to>
      <xdr:col>12</xdr:col>
      <xdr:colOff>71544</xdr:colOff>
      <xdr:row>7</xdr:row>
      <xdr:rowOff>167217</xdr:rowOff>
    </xdr:to>
    <xdr:pic>
      <xdr:nvPicPr>
        <xdr:cNvPr id="4" name="Picture 3" descr="http://harborlab.files.wordpress.com/2013/07/dep-logo-color2.jp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07667" y="402167"/>
          <a:ext cx="1584960" cy="1162050"/>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18</xdr:col>
      <xdr:colOff>277090</xdr:colOff>
      <xdr:row>19</xdr:row>
      <xdr:rowOff>83344</xdr:rowOff>
    </xdr:from>
    <xdr:to>
      <xdr:col>26</xdr:col>
      <xdr:colOff>450273</xdr:colOff>
      <xdr:row>32</xdr:row>
      <xdr:rowOff>173182</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303068</xdr:colOff>
      <xdr:row>34</xdr:row>
      <xdr:rowOff>51954</xdr:rowOff>
    </xdr:from>
    <xdr:to>
      <xdr:col>26</xdr:col>
      <xdr:colOff>476251</xdr:colOff>
      <xdr:row>45</xdr:row>
      <xdr:rowOff>17318</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xdr:col>
      <xdr:colOff>311727</xdr:colOff>
      <xdr:row>45</xdr:row>
      <xdr:rowOff>173182</xdr:rowOff>
    </xdr:from>
    <xdr:to>
      <xdr:col>26</xdr:col>
      <xdr:colOff>484910</xdr:colOff>
      <xdr:row>54</xdr:row>
      <xdr:rowOff>34637</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18</xdr:col>
      <xdr:colOff>303069</xdr:colOff>
      <xdr:row>55</xdr:row>
      <xdr:rowOff>0</xdr:rowOff>
    </xdr:from>
    <xdr:to>
      <xdr:col>26</xdr:col>
      <xdr:colOff>476252</xdr:colOff>
      <xdr:row>65</xdr:row>
      <xdr:rowOff>129886</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255441</xdr:colOff>
      <xdr:row>67</xdr:row>
      <xdr:rowOff>21646</xdr:rowOff>
    </xdr:from>
    <xdr:to>
      <xdr:col>19</xdr:col>
      <xdr:colOff>273841</xdr:colOff>
      <xdr:row>84</xdr:row>
      <xdr:rowOff>67105</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info@developer.com" TargetMode="Externa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printerSettings" Target="../printerSettings/printerSettings6.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3" Type="http://schemas.openxmlformats.org/officeDocument/2006/relationships/hyperlink" Target="http://www.water.ca.gov/wateruseefficiency/docs/wucols00.pdf" TargetMode="Externa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drawing" Target="../drawings/drawing1.xml"/><Relationship Id="rId4" Type="http://schemas.openxmlformats.org/officeDocument/2006/relationships/printerSettings" Target="../printerSettings/printerSettings1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6" Type="http://schemas.openxmlformats.org/officeDocument/2006/relationships/comments" Target="../comments4.xml"/><Relationship Id="rId5" Type="http://schemas.openxmlformats.org/officeDocument/2006/relationships/vmlDrawing" Target="../drawings/vmlDrawing4.vml"/><Relationship Id="rId4"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5" Type="http://schemas.openxmlformats.org/officeDocument/2006/relationships/comments" Target="../comments5.xml"/><Relationship Id="rId4"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 Id="rId6" Type="http://schemas.openxmlformats.org/officeDocument/2006/relationships/comments" Target="../comments6.xml"/><Relationship Id="rId5" Type="http://schemas.openxmlformats.org/officeDocument/2006/relationships/vmlDrawing" Target="../drawings/vmlDrawing6.vml"/><Relationship Id="rId4" Type="http://schemas.openxmlformats.org/officeDocument/2006/relationships/drawing" Target="../drawings/drawing3.xm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4" Type="http://schemas.openxmlformats.org/officeDocument/2006/relationships/drawing" Target="../drawings/drawing4.xml"/></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 Id="rId4" Type="http://schemas.openxmlformats.org/officeDocument/2006/relationships/drawing" Target="../drawings/drawing5.xml"/></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33.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 Id="rId5" Type="http://schemas.openxmlformats.org/officeDocument/2006/relationships/comments" Target="../comments7.xml"/><Relationship Id="rId4" Type="http://schemas.openxmlformats.org/officeDocument/2006/relationships/vmlDrawing" Target="../drawings/vmlDrawing7.vml"/></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36.bin"/><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 Id="rId4"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59"/>
  <sheetViews>
    <sheetView tabSelected="1" zoomScale="85" zoomScaleNormal="85" workbookViewId="0">
      <selection activeCell="C12" sqref="C12"/>
    </sheetView>
  </sheetViews>
  <sheetFormatPr defaultRowHeight="15" x14ac:dyDescent="0.25"/>
  <cols>
    <col min="1" max="1" width="5.42578125" style="730" customWidth="1"/>
    <col min="2" max="2" width="29.42578125" style="730" customWidth="1"/>
    <col min="3" max="3" width="79.85546875" style="730" customWidth="1"/>
    <col min="4" max="4" width="32.42578125" style="730" customWidth="1"/>
    <col min="5" max="12" width="9.140625" style="730"/>
    <col min="13" max="16384" width="9.140625" style="50"/>
  </cols>
  <sheetData>
    <row r="1" spans="1:13" s="892" customFormat="1" ht="39" x14ac:dyDescent="0.6">
      <c r="A1" s="887" t="s">
        <v>690</v>
      </c>
      <c r="B1" s="888"/>
      <c r="C1" s="888"/>
      <c r="D1" s="888"/>
      <c r="E1" s="889"/>
      <c r="F1" s="890"/>
      <c r="G1" s="889"/>
      <c r="H1" s="889"/>
      <c r="I1" s="889"/>
      <c r="J1" s="889"/>
      <c r="K1" s="889"/>
      <c r="L1" s="889"/>
      <c r="M1" s="891"/>
    </row>
    <row r="2" spans="1:13" ht="21" x14ac:dyDescent="0.35">
      <c r="A2" s="729" t="s">
        <v>822</v>
      </c>
      <c r="C2" s="731" t="s">
        <v>846</v>
      </c>
    </row>
    <row r="3" spans="1:13" x14ac:dyDescent="0.25">
      <c r="A3" s="730" t="s">
        <v>845</v>
      </c>
      <c r="C3" s="50" t="s">
        <v>848</v>
      </c>
    </row>
    <row r="4" spans="1:13" x14ac:dyDescent="0.25">
      <c r="C4" s="730" t="s">
        <v>847</v>
      </c>
    </row>
    <row r="5" spans="1:13" x14ac:dyDescent="0.25">
      <c r="C5" s="730" t="s">
        <v>821</v>
      </c>
    </row>
    <row r="6" spans="1:13" s="894" customFormat="1" ht="15.75" x14ac:dyDescent="0.25">
      <c r="A6" s="893"/>
      <c r="B6" s="893" t="s">
        <v>290</v>
      </c>
      <c r="C6" s="893"/>
      <c r="D6" s="893"/>
      <c r="E6" s="893"/>
      <c r="F6" s="893"/>
      <c r="G6" s="893"/>
      <c r="H6" s="893"/>
      <c r="I6" s="893"/>
      <c r="J6" s="893"/>
      <c r="K6" s="893"/>
      <c r="L6" s="893"/>
    </row>
    <row r="7" spans="1:13" s="51" customFormat="1" ht="33" customHeight="1" x14ac:dyDescent="0.25">
      <c r="A7" s="731"/>
      <c r="B7" s="1649" t="s">
        <v>849</v>
      </c>
      <c r="C7" s="1649"/>
      <c r="D7" s="1649"/>
      <c r="E7" s="1649"/>
      <c r="F7" s="1649"/>
      <c r="G7" s="1649"/>
      <c r="H7" s="1649"/>
      <c r="I7" s="1649"/>
      <c r="J7" s="1649"/>
      <c r="K7" s="731"/>
      <c r="L7" s="731"/>
    </row>
    <row r="8" spans="1:13" s="51" customFormat="1" ht="10.5" customHeight="1" x14ac:dyDescent="0.25">
      <c r="A8" s="731"/>
      <c r="B8" s="732"/>
      <c r="C8" s="732"/>
      <c r="D8" s="732"/>
      <c r="E8" s="732"/>
      <c r="F8" s="732"/>
      <c r="G8" s="732"/>
      <c r="H8" s="732"/>
      <c r="I8" s="732"/>
      <c r="J8" s="732"/>
      <c r="K8" s="731"/>
      <c r="L8" s="731"/>
    </row>
    <row r="9" spans="1:13" s="51" customFormat="1" ht="15.75" x14ac:dyDescent="0.25">
      <c r="A9" s="731"/>
      <c r="B9" s="731" t="s">
        <v>823</v>
      </c>
      <c r="C9" s="731"/>
      <c r="D9" s="731"/>
      <c r="E9" s="731"/>
      <c r="F9" s="731"/>
      <c r="G9" s="731"/>
      <c r="H9" s="731"/>
      <c r="I9" s="731"/>
      <c r="J9" s="731"/>
      <c r="K9" s="731"/>
      <c r="L9" s="731"/>
    </row>
    <row r="10" spans="1:13" s="51" customFormat="1" ht="15.75" x14ac:dyDescent="0.25">
      <c r="A10" s="731"/>
      <c r="B10" s="731" t="s">
        <v>850</v>
      </c>
      <c r="C10" s="731"/>
      <c r="D10" s="731"/>
      <c r="E10" s="731"/>
      <c r="F10" s="731"/>
      <c r="G10" s="731"/>
      <c r="H10" s="731"/>
      <c r="I10" s="731"/>
      <c r="J10" s="731"/>
      <c r="K10" s="731"/>
      <c r="L10" s="731"/>
    </row>
    <row r="11" spans="1:13" s="51" customFormat="1" ht="15.75" x14ac:dyDescent="0.25">
      <c r="A11" s="731"/>
      <c r="B11" s="731" t="s">
        <v>824</v>
      </c>
      <c r="C11" s="731"/>
      <c r="D11" s="731"/>
      <c r="E11" s="731"/>
      <c r="F11" s="731"/>
      <c r="G11" s="731"/>
      <c r="H11" s="731"/>
      <c r="I11" s="731"/>
      <c r="J11" s="731"/>
      <c r="K11" s="731"/>
      <c r="L11" s="731"/>
    </row>
    <row r="12" spans="1:13" s="51" customFormat="1" ht="15.75" x14ac:dyDescent="0.25">
      <c r="A12" s="731"/>
      <c r="B12" s="731"/>
      <c r="C12" s="731"/>
      <c r="D12" s="731"/>
      <c r="E12" s="731"/>
      <c r="F12" s="731"/>
      <c r="G12" s="731"/>
      <c r="H12" s="731"/>
      <c r="I12" s="731"/>
      <c r="J12" s="731"/>
      <c r="K12" s="731"/>
      <c r="L12" s="731"/>
    </row>
    <row r="13" spans="1:13" s="51" customFormat="1" ht="15.75" x14ac:dyDescent="0.25">
      <c r="A13" s="731"/>
      <c r="B13" s="734" t="s">
        <v>851</v>
      </c>
      <c r="C13" s="733"/>
      <c r="D13" s="733"/>
      <c r="E13" s="733"/>
      <c r="F13" s="733"/>
      <c r="G13" s="733"/>
      <c r="H13" s="733"/>
      <c r="I13" s="733"/>
      <c r="J13" s="731"/>
      <c r="K13" s="731"/>
      <c r="L13" s="731"/>
    </row>
    <row r="14" spans="1:13" s="51" customFormat="1" ht="15.75" x14ac:dyDescent="0.25">
      <c r="A14" s="731"/>
      <c r="B14" s="734"/>
      <c r="C14" s="733"/>
      <c r="D14" s="733"/>
      <c r="E14" s="733"/>
      <c r="F14" s="733"/>
      <c r="G14" s="733"/>
      <c r="H14" s="733"/>
      <c r="I14" s="733"/>
      <c r="J14" s="731"/>
      <c r="K14" s="731"/>
      <c r="L14" s="731"/>
    </row>
    <row r="15" spans="1:13" s="51" customFormat="1" ht="67.5" customHeight="1" x14ac:dyDescent="0.25">
      <c r="A15" s="731"/>
      <c r="B15" s="1648" t="s">
        <v>852</v>
      </c>
      <c r="C15" s="1648"/>
      <c r="D15" s="1648"/>
      <c r="E15" s="1648"/>
      <c r="F15" s="1648"/>
      <c r="G15" s="1648"/>
      <c r="H15" s="1648"/>
      <c r="I15" s="1648"/>
      <c r="J15" s="1648"/>
      <c r="K15" s="731"/>
      <c r="L15" s="731"/>
    </row>
    <row r="16" spans="1:13" s="51" customFormat="1" ht="15.75" x14ac:dyDescent="0.25">
      <c r="A16" s="731"/>
      <c r="B16" s="731"/>
      <c r="C16" s="731"/>
      <c r="D16" s="731"/>
      <c r="E16" s="731"/>
      <c r="F16" s="731"/>
      <c r="G16" s="731"/>
      <c r="H16" s="731"/>
      <c r="I16" s="731"/>
      <c r="J16" s="731"/>
      <c r="K16" s="731"/>
      <c r="L16" s="731"/>
    </row>
    <row r="17" spans="1:12" s="894" customFormat="1" ht="15.75" x14ac:dyDescent="0.25">
      <c r="A17" s="893"/>
      <c r="B17" s="893" t="s">
        <v>289</v>
      </c>
      <c r="C17" s="893"/>
      <c r="D17" s="893"/>
      <c r="E17" s="893"/>
      <c r="F17" s="893"/>
      <c r="G17" s="893"/>
      <c r="H17" s="893"/>
      <c r="I17" s="893"/>
      <c r="J17" s="893"/>
      <c r="K17" s="893"/>
      <c r="L17" s="893"/>
    </row>
    <row r="18" spans="1:12" s="51" customFormat="1" ht="15.75" x14ac:dyDescent="0.25">
      <c r="A18" s="731"/>
      <c r="B18" s="735" t="s">
        <v>288</v>
      </c>
      <c r="C18" s="731"/>
      <c r="D18" s="731"/>
      <c r="E18" s="731"/>
      <c r="F18" s="731"/>
      <c r="G18" s="731"/>
      <c r="H18" s="731"/>
      <c r="I18" s="731"/>
      <c r="J18" s="731"/>
      <c r="K18" s="731"/>
      <c r="L18" s="731"/>
    </row>
    <row r="19" spans="1:12" s="51" customFormat="1" ht="15.75" x14ac:dyDescent="0.25">
      <c r="A19" s="731"/>
      <c r="B19" s="736" t="s">
        <v>291</v>
      </c>
      <c r="C19" s="731"/>
      <c r="D19" s="731"/>
      <c r="E19" s="731"/>
      <c r="F19" s="731"/>
      <c r="G19" s="731"/>
      <c r="H19" s="731"/>
      <c r="I19" s="731"/>
      <c r="J19" s="731"/>
      <c r="K19" s="731"/>
      <c r="L19" s="731"/>
    </row>
    <row r="20" spans="1:12" s="51" customFormat="1" ht="15.75" x14ac:dyDescent="0.25">
      <c r="A20" s="731"/>
      <c r="B20" s="731" t="s">
        <v>292</v>
      </c>
      <c r="C20" s="731"/>
      <c r="D20" s="731"/>
      <c r="E20" s="731"/>
      <c r="F20" s="731"/>
      <c r="G20" s="731"/>
      <c r="H20" s="731"/>
      <c r="I20" s="731"/>
      <c r="J20" s="731"/>
      <c r="K20" s="731"/>
      <c r="L20" s="731"/>
    </row>
    <row r="21" spans="1:12" s="51" customFormat="1" ht="15.75" x14ac:dyDescent="0.25">
      <c r="A21" s="731"/>
      <c r="B21" s="731" t="s">
        <v>853</v>
      </c>
      <c r="C21" s="731"/>
      <c r="D21" s="731"/>
      <c r="E21" s="731"/>
      <c r="F21" s="731"/>
      <c r="G21" s="731"/>
      <c r="H21" s="731"/>
      <c r="I21" s="731"/>
      <c r="J21" s="731"/>
      <c r="K21" s="731"/>
      <c r="L21" s="731"/>
    </row>
    <row r="22" spans="1:12" s="51" customFormat="1" ht="15.75" x14ac:dyDescent="0.25">
      <c r="A22" s="731"/>
      <c r="B22" s="731" t="s">
        <v>293</v>
      </c>
      <c r="C22" s="731"/>
      <c r="D22" s="731"/>
      <c r="E22" s="731"/>
      <c r="F22" s="731"/>
      <c r="G22" s="731"/>
      <c r="H22" s="731"/>
      <c r="I22" s="731"/>
      <c r="J22" s="731"/>
      <c r="K22" s="731"/>
      <c r="L22" s="731"/>
    </row>
    <row r="23" spans="1:12" s="51" customFormat="1" ht="48" customHeight="1" x14ac:dyDescent="0.25">
      <c r="A23" s="731"/>
      <c r="B23" s="1650" t="s">
        <v>854</v>
      </c>
      <c r="C23" s="1650"/>
      <c r="D23" s="1650"/>
      <c r="E23" s="1650"/>
      <c r="F23" s="1650"/>
      <c r="G23" s="1650"/>
      <c r="H23" s="1650"/>
      <c r="I23" s="1650"/>
      <c r="J23" s="731"/>
      <c r="K23" s="731"/>
      <c r="L23" s="731"/>
    </row>
    <row r="24" spans="1:12" s="51" customFormat="1" ht="15.75" x14ac:dyDescent="0.25">
      <c r="A24" s="731"/>
      <c r="B24" s="729" t="s">
        <v>740</v>
      </c>
      <c r="C24" s="731"/>
      <c r="D24" s="731"/>
      <c r="E24" s="731"/>
      <c r="F24" s="731"/>
      <c r="G24" s="731"/>
      <c r="H24" s="731"/>
      <c r="I24" s="731"/>
      <c r="J24" s="731"/>
      <c r="K24" s="731"/>
      <c r="L24" s="731"/>
    </row>
    <row r="25" spans="1:12" s="51" customFormat="1" ht="15.75" x14ac:dyDescent="0.25">
      <c r="A25" s="731"/>
      <c r="B25" s="731" t="s">
        <v>855</v>
      </c>
      <c r="C25" s="731"/>
      <c r="D25" s="731"/>
      <c r="E25" s="731"/>
      <c r="F25" s="731"/>
      <c r="G25" s="731"/>
      <c r="H25" s="731"/>
      <c r="I25" s="731"/>
      <c r="J25" s="731"/>
      <c r="K25" s="731"/>
      <c r="L25" s="731"/>
    </row>
    <row r="26" spans="1:12" s="51" customFormat="1" ht="15.75" x14ac:dyDescent="0.25">
      <c r="A26" s="731"/>
      <c r="B26" s="731"/>
      <c r="C26" s="731"/>
      <c r="D26" s="731"/>
      <c r="E26" s="731"/>
      <c r="F26" s="731"/>
      <c r="G26" s="731"/>
      <c r="H26" s="731"/>
      <c r="I26" s="731"/>
      <c r="J26" s="731"/>
      <c r="K26" s="731"/>
      <c r="L26" s="731"/>
    </row>
    <row r="27" spans="1:12" s="894" customFormat="1" ht="15.75" x14ac:dyDescent="0.25">
      <c r="A27" s="893"/>
      <c r="B27" s="893" t="s">
        <v>281</v>
      </c>
      <c r="C27" s="893"/>
      <c r="D27" s="893"/>
      <c r="E27" s="893"/>
      <c r="F27" s="893"/>
      <c r="G27" s="893"/>
      <c r="H27" s="893"/>
      <c r="I27" s="893"/>
      <c r="J27" s="893"/>
      <c r="K27" s="893"/>
      <c r="L27" s="893"/>
    </row>
    <row r="28" spans="1:12" s="51" customFormat="1" ht="15.75" x14ac:dyDescent="0.25">
      <c r="A28" s="731"/>
      <c r="B28" s="731" t="s">
        <v>511</v>
      </c>
      <c r="C28" s="731"/>
      <c r="D28" s="731"/>
      <c r="E28" s="731"/>
      <c r="F28" s="731"/>
      <c r="G28" s="731"/>
      <c r="H28" s="731"/>
      <c r="I28" s="731"/>
      <c r="J28" s="731"/>
      <c r="K28" s="731"/>
      <c r="L28" s="731"/>
    </row>
    <row r="29" spans="1:12" s="51" customFormat="1" ht="16.5" thickBot="1" x14ac:dyDescent="0.3">
      <c r="A29" s="731"/>
      <c r="B29" s="731"/>
      <c r="C29" s="731"/>
      <c r="D29" s="731"/>
      <c r="E29" s="731"/>
      <c r="F29" s="731"/>
      <c r="G29" s="731"/>
      <c r="H29" s="731"/>
      <c r="I29" s="731"/>
      <c r="J29" s="731"/>
      <c r="K29" s="731"/>
      <c r="L29" s="731"/>
    </row>
    <row r="30" spans="1:12" s="51" customFormat="1" ht="15.75" x14ac:dyDescent="0.25">
      <c r="A30" s="731"/>
      <c r="B30" s="895" t="s">
        <v>856</v>
      </c>
      <c r="C30" s="896" t="s">
        <v>50</v>
      </c>
      <c r="D30" s="1651" t="s">
        <v>701</v>
      </c>
      <c r="E30" s="1651"/>
      <c r="F30" s="1651"/>
      <c r="G30" s="1651"/>
      <c r="H30" s="1651"/>
      <c r="I30" s="1651"/>
      <c r="J30" s="1652"/>
      <c r="K30" s="731"/>
      <c r="L30" s="731"/>
    </row>
    <row r="31" spans="1:12" s="51" customFormat="1" ht="15.75" x14ac:dyDescent="0.25">
      <c r="A31" s="731"/>
      <c r="B31" s="737" t="s">
        <v>512</v>
      </c>
      <c r="C31" s="738" t="s">
        <v>282</v>
      </c>
      <c r="D31" s="1653" t="s">
        <v>857</v>
      </c>
      <c r="E31" s="1653"/>
      <c r="F31" s="1653"/>
      <c r="G31" s="1653"/>
      <c r="H31" s="1653"/>
      <c r="I31" s="1653"/>
      <c r="J31" s="1654"/>
      <c r="K31" s="731"/>
      <c r="L31" s="731"/>
    </row>
    <row r="32" spans="1:12" s="51" customFormat="1" ht="15.75" x14ac:dyDescent="0.25">
      <c r="A32" s="731"/>
      <c r="B32" s="737" t="s">
        <v>513</v>
      </c>
      <c r="C32" s="738" t="s">
        <v>283</v>
      </c>
      <c r="D32" s="1655" t="s">
        <v>736</v>
      </c>
      <c r="E32" s="1655"/>
      <c r="F32" s="1655"/>
      <c r="G32" s="1655"/>
      <c r="H32" s="1655"/>
      <c r="I32" s="1655"/>
      <c r="J32" s="1656"/>
      <c r="K32" s="731"/>
      <c r="L32" s="731"/>
    </row>
    <row r="33" spans="1:12" s="51" customFormat="1" ht="29.25" customHeight="1" x14ac:dyDescent="0.25">
      <c r="A33" s="731"/>
      <c r="B33" s="737" t="s">
        <v>647</v>
      </c>
      <c r="C33" s="739" t="s">
        <v>819</v>
      </c>
      <c r="D33" s="1655" t="s">
        <v>820</v>
      </c>
      <c r="E33" s="1655"/>
      <c r="F33" s="1655"/>
      <c r="G33" s="1655"/>
      <c r="H33" s="1655"/>
      <c r="I33" s="1655"/>
      <c r="J33" s="1656"/>
      <c r="K33" s="731"/>
      <c r="L33" s="731"/>
    </row>
    <row r="34" spans="1:12" s="51" customFormat="1" ht="15.75" x14ac:dyDescent="0.25">
      <c r="A34" s="731"/>
      <c r="B34" s="737" t="s">
        <v>514</v>
      </c>
      <c r="C34" s="738" t="s">
        <v>284</v>
      </c>
      <c r="D34" s="1655" t="s">
        <v>702</v>
      </c>
      <c r="E34" s="1655"/>
      <c r="F34" s="1655"/>
      <c r="G34" s="1655"/>
      <c r="H34" s="1655"/>
      <c r="I34" s="1655"/>
      <c r="J34" s="1656"/>
      <c r="K34" s="731"/>
      <c r="L34" s="731"/>
    </row>
    <row r="35" spans="1:12" s="51" customFormat="1" ht="15.75" x14ac:dyDescent="0.25">
      <c r="A35" s="731"/>
      <c r="B35" s="737" t="s">
        <v>648</v>
      </c>
      <c r="C35" s="738" t="s">
        <v>818</v>
      </c>
      <c r="D35" s="1655" t="s">
        <v>703</v>
      </c>
      <c r="E35" s="1655"/>
      <c r="F35" s="1655"/>
      <c r="G35" s="1655"/>
      <c r="H35" s="1655"/>
      <c r="I35" s="1655"/>
      <c r="J35" s="1656"/>
      <c r="K35" s="731"/>
      <c r="L35" s="731"/>
    </row>
    <row r="36" spans="1:12" s="51" customFormat="1" ht="15.75" x14ac:dyDescent="0.25">
      <c r="A36" s="731"/>
      <c r="B36" s="737" t="s">
        <v>515</v>
      </c>
      <c r="C36" s="738" t="s">
        <v>285</v>
      </c>
      <c r="D36" s="1655" t="s">
        <v>703</v>
      </c>
      <c r="E36" s="1655"/>
      <c r="F36" s="1655"/>
      <c r="G36" s="1655"/>
      <c r="H36" s="1655"/>
      <c r="I36" s="1655"/>
      <c r="J36" s="1656"/>
      <c r="K36" s="731"/>
      <c r="L36" s="731"/>
    </row>
    <row r="37" spans="1:12" s="51" customFormat="1" ht="49.5" customHeight="1" x14ac:dyDescent="0.25">
      <c r="A37" s="731"/>
      <c r="B37" s="737" t="s">
        <v>516</v>
      </c>
      <c r="C37" s="738" t="s">
        <v>286</v>
      </c>
      <c r="D37" s="1655" t="s">
        <v>858</v>
      </c>
      <c r="E37" s="1655"/>
      <c r="F37" s="1655"/>
      <c r="G37" s="1655"/>
      <c r="H37" s="1655"/>
      <c r="I37" s="1655"/>
      <c r="J37" s="1656"/>
      <c r="K37" s="731"/>
      <c r="L37" s="731"/>
    </row>
    <row r="38" spans="1:12" s="51" customFormat="1" ht="16.5" thickBot="1" x14ac:dyDescent="0.3">
      <c r="A38" s="731"/>
      <c r="B38" s="740" t="s">
        <v>517</v>
      </c>
      <c r="C38" s="741" t="s">
        <v>384</v>
      </c>
      <c r="D38" s="1657" t="s">
        <v>703</v>
      </c>
      <c r="E38" s="1657"/>
      <c r="F38" s="1657"/>
      <c r="G38" s="1657"/>
      <c r="H38" s="1657"/>
      <c r="I38" s="1657"/>
      <c r="J38" s="1658"/>
      <c r="K38" s="731"/>
      <c r="L38" s="731"/>
    </row>
    <row r="39" spans="1:12" s="199" customFormat="1" ht="34.5" customHeight="1" x14ac:dyDescent="0.25">
      <c r="A39" s="731"/>
      <c r="B39" s="1659" t="s">
        <v>859</v>
      </c>
      <c r="C39" s="1659"/>
      <c r="D39" s="1659"/>
      <c r="E39" s="1659"/>
      <c r="F39" s="1659"/>
      <c r="G39" s="1659"/>
      <c r="H39" s="1659"/>
      <c r="I39" s="1659"/>
      <c r="J39" s="1659"/>
      <c r="K39" s="731"/>
      <c r="L39" s="731"/>
    </row>
    <row r="40" spans="1:12" s="201" customFormat="1" ht="15.75" x14ac:dyDescent="0.25">
      <c r="A40" s="731"/>
      <c r="B40" s="742"/>
      <c r="C40" s="743"/>
      <c r="D40" s="744"/>
      <c r="E40" s="744"/>
      <c r="F40" s="744"/>
      <c r="G40" s="744"/>
      <c r="H40" s="744"/>
      <c r="I40" s="744"/>
      <c r="J40" s="744"/>
      <c r="K40" s="731"/>
      <c r="L40" s="731"/>
    </row>
    <row r="41" spans="1:12" s="201" customFormat="1" ht="15.75" x14ac:dyDescent="0.25">
      <c r="A41" s="731"/>
      <c r="B41" s="742" t="s">
        <v>704</v>
      </c>
      <c r="C41" s="743"/>
      <c r="D41" s="744"/>
      <c r="E41" s="744"/>
      <c r="F41" s="744"/>
      <c r="G41" s="744"/>
      <c r="H41" s="744"/>
      <c r="I41" s="744"/>
      <c r="J41" s="744"/>
      <c r="K41" s="731"/>
      <c r="L41" s="731"/>
    </row>
    <row r="42" spans="1:12" s="201" customFormat="1" ht="16.5" thickBot="1" x14ac:dyDescent="0.3">
      <c r="A42" s="731"/>
      <c r="B42" s="745" t="s">
        <v>705</v>
      </c>
      <c r="C42" s="746"/>
      <c r="D42" s="744"/>
      <c r="E42" s="744"/>
      <c r="F42" s="744"/>
      <c r="G42" s="744"/>
      <c r="H42" s="744"/>
      <c r="I42" s="744"/>
      <c r="J42" s="744"/>
      <c r="K42" s="731"/>
      <c r="L42" s="731"/>
    </row>
    <row r="43" spans="1:12" s="201" customFormat="1" ht="15.75" x14ac:dyDescent="0.25">
      <c r="A43" s="731"/>
      <c r="B43" s="895" t="s">
        <v>706</v>
      </c>
      <c r="C43" s="897" t="s">
        <v>707</v>
      </c>
      <c r="D43" s="744"/>
      <c r="E43" s="744"/>
      <c r="F43" s="744"/>
      <c r="G43" s="744"/>
      <c r="H43" s="744"/>
      <c r="I43" s="744"/>
      <c r="J43" s="744"/>
      <c r="K43" s="731"/>
      <c r="L43" s="731"/>
    </row>
    <row r="44" spans="1:12" s="201" customFormat="1" ht="30" x14ac:dyDescent="0.25">
      <c r="A44" s="731"/>
      <c r="B44" s="747" t="s">
        <v>160</v>
      </c>
      <c r="C44" s="748" t="s">
        <v>860</v>
      </c>
      <c r="D44" s="744"/>
      <c r="E44" s="744"/>
      <c r="F44" s="744"/>
      <c r="G44" s="744"/>
      <c r="H44" s="744"/>
      <c r="I44" s="744"/>
      <c r="J44" s="744"/>
      <c r="K44" s="731"/>
      <c r="L44" s="731"/>
    </row>
    <row r="45" spans="1:12" s="201" customFormat="1" ht="15.75" x14ac:dyDescent="0.25">
      <c r="A45" s="731"/>
      <c r="B45" s="747" t="s">
        <v>89</v>
      </c>
      <c r="C45" s="749" t="s">
        <v>708</v>
      </c>
      <c r="D45" s="744"/>
      <c r="E45" s="744"/>
      <c r="F45" s="744"/>
      <c r="G45" s="744"/>
      <c r="H45" s="744"/>
      <c r="I45" s="744"/>
      <c r="J45" s="744"/>
      <c r="K45" s="731"/>
      <c r="L45" s="731"/>
    </row>
    <row r="46" spans="1:12" s="201" customFormat="1" ht="15.75" x14ac:dyDescent="0.25">
      <c r="A46" s="731"/>
      <c r="B46" s="747" t="s">
        <v>86</v>
      </c>
      <c r="C46" s="750" t="s">
        <v>709</v>
      </c>
      <c r="D46" s="744"/>
      <c r="E46" s="744"/>
      <c r="F46" s="744"/>
      <c r="G46" s="744"/>
      <c r="H46" s="744"/>
      <c r="I46" s="744"/>
      <c r="J46" s="744"/>
      <c r="K46" s="731"/>
      <c r="L46" s="731"/>
    </row>
    <row r="47" spans="1:12" s="201" customFormat="1" ht="45" x14ac:dyDescent="0.25">
      <c r="A47" s="731"/>
      <c r="B47" s="747" t="s">
        <v>710</v>
      </c>
      <c r="C47" s="751" t="s">
        <v>861</v>
      </c>
      <c r="D47" s="744"/>
      <c r="E47" s="744"/>
      <c r="F47" s="744"/>
      <c r="G47" s="744"/>
      <c r="H47" s="744"/>
      <c r="I47" s="744"/>
      <c r="J47" s="744"/>
      <c r="K47" s="731"/>
      <c r="L47" s="731"/>
    </row>
    <row r="48" spans="1:12" s="201" customFormat="1" ht="15.75" x14ac:dyDescent="0.25">
      <c r="A48" s="731"/>
      <c r="B48" s="747" t="s">
        <v>87</v>
      </c>
      <c r="C48" s="752" t="s">
        <v>738</v>
      </c>
      <c r="D48" s="744"/>
      <c r="E48" s="744"/>
      <c r="F48" s="744"/>
      <c r="G48" s="744"/>
      <c r="H48" s="744"/>
      <c r="I48" s="744"/>
      <c r="J48" s="744"/>
      <c r="K48" s="731"/>
      <c r="L48" s="731"/>
    </row>
    <row r="49" spans="1:12" s="51" customFormat="1" ht="15.75" x14ac:dyDescent="0.25">
      <c r="A49" s="731"/>
      <c r="B49" s="731"/>
      <c r="C49" s="731"/>
      <c r="D49" s="731"/>
      <c r="E49" s="731"/>
      <c r="F49" s="731"/>
      <c r="G49" s="731"/>
      <c r="H49" s="731"/>
      <c r="I49" s="731"/>
      <c r="J49" s="731"/>
      <c r="K49" s="731"/>
      <c r="L49" s="731"/>
    </row>
    <row r="50" spans="1:12" s="894" customFormat="1" ht="15.75" x14ac:dyDescent="0.25">
      <c r="A50" s="893"/>
      <c r="B50" s="893" t="s">
        <v>294</v>
      </c>
      <c r="C50" s="893"/>
      <c r="D50" s="893"/>
      <c r="E50" s="893"/>
      <c r="F50" s="893"/>
      <c r="G50" s="893"/>
      <c r="H50" s="893"/>
      <c r="I50" s="893"/>
      <c r="J50" s="893"/>
      <c r="K50" s="893"/>
      <c r="L50" s="893"/>
    </row>
    <row r="51" spans="1:12" s="51" customFormat="1" ht="15.75" x14ac:dyDescent="0.25">
      <c r="A51" s="731"/>
      <c r="B51" s="731"/>
      <c r="C51" s="731"/>
      <c r="D51" s="731"/>
      <c r="E51" s="731"/>
      <c r="F51" s="731"/>
      <c r="G51" s="731"/>
      <c r="H51" s="731"/>
      <c r="I51" s="731"/>
      <c r="J51" s="731"/>
      <c r="K51" s="731"/>
      <c r="L51" s="731"/>
    </row>
    <row r="52" spans="1:12" s="51" customFormat="1" ht="31.5" customHeight="1" x14ac:dyDescent="0.25">
      <c r="A52" s="735"/>
      <c r="B52" s="1649" t="s">
        <v>862</v>
      </c>
      <c r="C52" s="1649"/>
      <c r="D52" s="1649"/>
      <c r="E52" s="1649"/>
      <c r="F52" s="1649"/>
      <c r="G52" s="1649"/>
      <c r="H52" s="1649"/>
      <c r="I52" s="1649"/>
      <c r="J52" s="1649"/>
      <c r="K52" s="1649"/>
      <c r="L52" s="731"/>
    </row>
    <row r="53" spans="1:12" s="51" customFormat="1" ht="15.75" x14ac:dyDescent="0.25">
      <c r="A53" s="735"/>
      <c r="B53" s="731"/>
      <c r="C53" s="731"/>
      <c r="D53" s="731"/>
      <c r="E53" s="731"/>
      <c r="F53" s="731"/>
      <c r="G53" s="731"/>
      <c r="H53" s="731"/>
      <c r="I53" s="731"/>
      <c r="J53" s="731"/>
      <c r="K53" s="731"/>
      <c r="L53" s="731"/>
    </row>
    <row r="54" spans="1:12" s="51" customFormat="1" ht="15.75" x14ac:dyDescent="0.25">
      <c r="A54" s="731"/>
      <c r="B54" s="731" t="s">
        <v>863</v>
      </c>
      <c r="C54" s="731"/>
      <c r="D54" s="731"/>
      <c r="E54" s="731"/>
      <c r="F54" s="731"/>
      <c r="G54" s="731"/>
      <c r="H54" s="731"/>
      <c r="I54" s="731"/>
      <c r="J54" s="731"/>
      <c r="K54" s="731"/>
      <c r="L54" s="731"/>
    </row>
    <row r="55" spans="1:12" s="51" customFormat="1" ht="15.75" x14ac:dyDescent="0.25">
      <c r="A55" s="731"/>
      <c r="B55" s="731"/>
      <c r="C55" s="731"/>
      <c r="D55" s="731"/>
      <c r="E55" s="731"/>
      <c r="F55" s="731"/>
      <c r="G55" s="731"/>
      <c r="H55" s="731"/>
      <c r="I55" s="731"/>
      <c r="J55" s="731"/>
      <c r="K55" s="731"/>
      <c r="L55" s="731"/>
    </row>
    <row r="56" spans="1:12" s="51" customFormat="1" ht="15.75" customHeight="1" x14ac:dyDescent="0.25">
      <c r="A56" s="731"/>
      <c r="B56" s="1649" t="s">
        <v>864</v>
      </c>
      <c r="C56" s="1649"/>
      <c r="D56" s="1649"/>
      <c r="E56" s="1649"/>
      <c r="F56" s="1649"/>
      <c r="G56" s="1649"/>
      <c r="H56" s="1649"/>
      <c r="I56" s="1649"/>
      <c r="J56" s="1649"/>
      <c r="K56" s="1649"/>
      <c r="L56" s="1649"/>
    </row>
    <row r="57" spans="1:12" s="51" customFormat="1" ht="15.75" x14ac:dyDescent="0.25">
      <c r="A57" s="731"/>
      <c r="B57" s="1649"/>
      <c r="C57" s="1649"/>
      <c r="D57" s="1649"/>
      <c r="E57" s="1649"/>
      <c r="F57" s="1649"/>
      <c r="G57" s="1649"/>
      <c r="H57" s="1649"/>
      <c r="I57" s="1649"/>
      <c r="J57" s="1649"/>
      <c r="K57" s="1649"/>
      <c r="L57" s="1649"/>
    </row>
    <row r="59" spans="1:12" s="904" customFormat="1" ht="23.25" x14ac:dyDescent="0.35">
      <c r="A59" s="898"/>
      <c r="B59" s="899" t="s">
        <v>295</v>
      </c>
      <c r="C59" s="900"/>
      <c r="D59" s="901"/>
      <c r="E59" s="900"/>
      <c r="F59" s="902"/>
      <c r="G59" s="903"/>
      <c r="H59" s="902"/>
      <c r="I59" s="902"/>
      <c r="J59" s="902"/>
      <c r="K59" s="902"/>
      <c r="L59" s="902"/>
    </row>
  </sheetData>
  <sheetProtection algorithmName="SHA-512" hashValue="mt9F8YTeogAU6C/zaLfSo1Y65Q3buizlMVCsnBBo0HUqxb2b3GpImnkgCuG81s5bzV+cyOFv7d6OEMS299z74w==" saltValue="ihzZn9y1PjpIEPf/5l/O7Q==" spinCount="100000" sheet="1" objects="1" scenarios="1" selectLockedCells="1"/>
  <customSheetViews>
    <customSheetView guid="{27ECCA9D-8222-4026-A3C8-C768CAE028E0}" scale="80" showPageBreaks="1" fitToPage="1" printArea="1">
      <selection activeCell="B1" sqref="B1"/>
      <pageMargins left="0.7" right="0.7" top="0.75" bottom="0.75" header="0.3" footer="0.3"/>
      <pageSetup paperSize="119" scale="40" orientation="portrait" r:id="rId1"/>
      <headerFooter>
        <oddFooter>&amp;CSingle Site Non-Potable Calculator
Version 2.0</oddFooter>
      </headerFooter>
    </customSheetView>
    <customSheetView guid="{D635BEAF-4410-44C3-8109-399BEE34BBD8}" scale="80" showPageBreaks="1" fitToPage="1" printArea="1">
      <selection activeCell="A2" sqref="A2"/>
      <pageMargins left="0.7" right="0.7" top="0.75" bottom="0.75" header="0.3" footer="0.3"/>
      <pageSetup paperSize="119" scale="40" orientation="portrait" r:id="rId2"/>
      <headerFooter>
        <oddFooter>&amp;CSingle Site Non-Potable Calculator
Version 2.0</oddFooter>
      </headerFooter>
    </customSheetView>
  </customSheetViews>
  <mergeCells count="15">
    <mergeCell ref="B15:J15"/>
    <mergeCell ref="B7:J7"/>
    <mergeCell ref="B56:L57"/>
    <mergeCell ref="B52:K52"/>
    <mergeCell ref="B23:I23"/>
    <mergeCell ref="D30:J30"/>
    <mergeCell ref="D31:J31"/>
    <mergeCell ref="D37:J37"/>
    <mergeCell ref="D38:J38"/>
    <mergeCell ref="D32:J32"/>
    <mergeCell ref="D33:J33"/>
    <mergeCell ref="D34:J34"/>
    <mergeCell ref="D35:J35"/>
    <mergeCell ref="D36:J36"/>
    <mergeCell ref="B39:J39"/>
  </mergeCells>
  <pageMargins left="0.7" right="0.7" top="0.75" bottom="0.75" header="0.3" footer="0.3"/>
  <pageSetup paperSize="119" scale="40" orientation="portrait" r:id="rId3"/>
  <headerFooter>
    <oddFooter>&amp;CSingle Site Non-Potable Calculator
Version 2.0</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A1:AW107"/>
  <sheetViews>
    <sheetView showGridLines="0" topLeftCell="A61" zoomScale="40" zoomScaleNormal="40" zoomScalePageLayoutView="60" workbookViewId="0">
      <selection activeCell="B80" sqref="B80"/>
    </sheetView>
  </sheetViews>
  <sheetFormatPr defaultRowHeight="12.75" x14ac:dyDescent="0.2"/>
  <cols>
    <col min="1" max="1" width="2.7109375" style="17" customWidth="1"/>
    <col min="2" max="2" width="48.85546875" style="18" customWidth="1"/>
    <col min="3" max="3" width="23.42578125" style="18" customWidth="1"/>
    <col min="4" max="4" width="29.42578125" style="21" customWidth="1"/>
    <col min="5" max="5" width="22.140625" style="18" customWidth="1"/>
    <col min="6" max="6" width="14.7109375" style="19" customWidth="1"/>
    <col min="7" max="7" width="11.7109375" style="17" customWidth="1"/>
    <col min="8" max="8" width="8.7109375" style="19" customWidth="1"/>
    <col min="9" max="9" width="16.85546875" style="19" customWidth="1"/>
    <col min="10" max="10" width="20.140625" style="19" bestFit="1" customWidth="1"/>
    <col min="11" max="11" width="13.7109375" style="19" customWidth="1"/>
    <col min="12" max="12" width="18.85546875" style="19" customWidth="1"/>
    <col min="13" max="13" width="13.42578125" style="17" customWidth="1"/>
    <col min="14" max="14" width="9.140625" style="17"/>
    <col min="15" max="18" width="9.140625" style="17" customWidth="1"/>
    <col min="19" max="20" width="9.140625" style="17" hidden="1" customWidth="1"/>
    <col min="21" max="21" width="3.42578125" style="17" hidden="1" customWidth="1"/>
    <col min="22" max="22" width="29.85546875" style="17" hidden="1" customWidth="1"/>
    <col min="23" max="24" width="9.140625" style="17" hidden="1" customWidth="1"/>
    <col min="25" max="25" width="13.28515625" style="17" hidden="1" customWidth="1"/>
    <col min="26" max="26" width="11.140625" style="17" hidden="1" customWidth="1"/>
    <col min="27" max="28" width="9.140625" style="17" hidden="1" customWidth="1"/>
    <col min="29" max="29" width="12.5703125" style="29" hidden="1" customWidth="1"/>
    <col min="30" max="30" width="11.42578125" style="29" hidden="1" customWidth="1"/>
    <col min="31" max="32" width="9.140625" style="17" hidden="1" customWidth="1"/>
    <col min="33" max="33" width="13.5703125" style="29" hidden="1" customWidth="1"/>
    <col min="34" max="34" width="12" style="29" hidden="1" customWidth="1"/>
    <col min="35" max="36" width="9.140625" style="17" hidden="1" customWidth="1"/>
    <col min="37" max="37" width="13.42578125" style="29" hidden="1" customWidth="1"/>
    <col min="38" max="38" width="12" style="29" hidden="1" customWidth="1"/>
    <col min="39" max="40" width="9.140625" style="17" hidden="1" customWidth="1"/>
    <col min="41" max="41" width="13" style="29" hidden="1" customWidth="1"/>
    <col min="42" max="42" width="12.140625" style="29" hidden="1" customWidth="1"/>
    <col min="43" max="44" width="9.140625" style="17" hidden="1" customWidth="1"/>
    <col min="45" max="45" width="12.42578125" style="29" hidden="1" customWidth="1"/>
    <col min="46" max="46" width="11.85546875" style="29" hidden="1" customWidth="1"/>
    <col min="47" max="47" width="14.28515625" style="17" hidden="1" customWidth="1"/>
    <col min="48" max="48" width="12.140625" style="17" hidden="1" customWidth="1"/>
    <col min="49" max="49" width="9.140625" style="17" hidden="1" customWidth="1"/>
    <col min="50" max="51" width="9.140625" style="17" customWidth="1"/>
    <col min="52" max="16384" width="9.140625" style="17"/>
  </cols>
  <sheetData>
    <row r="1" spans="1:12" s="890" customFormat="1" ht="26.25" x14ac:dyDescent="0.4">
      <c r="A1" s="935" t="s">
        <v>37</v>
      </c>
      <c r="B1" s="888"/>
      <c r="C1" s="888"/>
      <c r="D1" s="1264"/>
      <c r="E1" s="888"/>
      <c r="F1" s="889"/>
      <c r="H1" s="889"/>
      <c r="I1" s="889"/>
      <c r="J1" s="889"/>
      <c r="K1" s="889"/>
      <c r="L1" s="889"/>
    </row>
    <row r="2" spans="1:12" s="903" customFormat="1" ht="23.25" x14ac:dyDescent="0.35">
      <c r="A2" s="898" t="s">
        <v>266</v>
      </c>
      <c r="B2" s="900"/>
      <c r="C2" s="900"/>
      <c r="D2" s="901"/>
      <c r="E2" s="900"/>
      <c r="F2" s="902"/>
      <c r="H2" s="902"/>
      <c r="I2" s="902"/>
      <c r="J2" s="902"/>
      <c r="K2" s="902"/>
      <c r="L2" s="902"/>
    </row>
    <row r="3" spans="1:12" s="281" customFormat="1" x14ac:dyDescent="0.2">
      <c r="B3" s="1265"/>
      <c r="C3" s="1265"/>
      <c r="D3" s="1266"/>
      <c r="E3" s="1265"/>
      <c r="F3" s="390"/>
      <c r="H3" s="390"/>
      <c r="I3" s="390"/>
      <c r="J3" s="390"/>
      <c r="K3" s="390"/>
      <c r="L3" s="390"/>
    </row>
    <row r="4" spans="1:12" s="258" customFormat="1" ht="15" customHeight="1" x14ac:dyDescent="0.25">
      <c r="B4" s="402" t="s">
        <v>56</v>
      </c>
      <c r="C4" s="402"/>
      <c r="D4" s="1257"/>
      <c r="E4" s="1267"/>
      <c r="F4" s="259"/>
      <c r="H4" s="261" t="s">
        <v>38</v>
      </c>
      <c r="I4" s="248"/>
      <c r="J4" s="248"/>
      <c r="K4" s="259"/>
      <c r="L4" s="259"/>
    </row>
    <row r="5" spans="1:12" s="258" customFormat="1" ht="15" customHeight="1" x14ac:dyDescent="0.25">
      <c r="B5" s="1672" t="s">
        <v>711</v>
      </c>
      <c r="C5" s="1672"/>
      <c r="D5" s="1672"/>
      <c r="E5" s="1672"/>
      <c r="F5" s="259"/>
      <c r="H5" s="262" t="s">
        <v>160</v>
      </c>
      <c r="I5" s="838"/>
      <c r="J5" s="839"/>
      <c r="K5" s="259"/>
      <c r="L5" s="259"/>
    </row>
    <row r="6" spans="1:12" s="258" customFormat="1" ht="15" customHeight="1" x14ac:dyDescent="0.25">
      <c r="B6" s="1672"/>
      <c r="C6" s="1672"/>
      <c r="D6" s="1672"/>
      <c r="E6" s="1672"/>
      <c r="F6" s="259"/>
      <c r="H6" s="262" t="s">
        <v>89</v>
      </c>
      <c r="I6" s="838"/>
      <c r="J6" s="841"/>
      <c r="K6" s="259"/>
      <c r="L6" s="259"/>
    </row>
    <row r="7" spans="1:12" s="258" customFormat="1" ht="15" customHeight="1" x14ac:dyDescent="0.25">
      <c r="B7" s="1672"/>
      <c r="C7" s="1672"/>
      <c r="D7" s="1672"/>
      <c r="E7" s="1672"/>
      <c r="F7" s="259"/>
      <c r="H7" s="393" t="s">
        <v>86</v>
      </c>
      <c r="I7" s="394"/>
      <c r="J7" s="842"/>
      <c r="K7" s="259"/>
      <c r="L7" s="259"/>
    </row>
    <row r="8" spans="1:12" s="281" customFormat="1" ht="15" x14ac:dyDescent="0.25">
      <c r="B8" s="1265"/>
      <c r="C8" s="1265"/>
      <c r="D8" s="1266"/>
      <c r="E8" s="1265"/>
      <c r="F8" s="390"/>
      <c r="H8" s="393" t="s">
        <v>87</v>
      </c>
      <c r="I8" s="394"/>
      <c r="J8" s="438"/>
      <c r="K8" s="390"/>
      <c r="L8" s="390"/>
    </row>
    <row r="9" spans="1:12" s="372" customFormat="1" ht="9" customHeight="1" x14ac:dyDescent="0.25">
      <c r="B9" s="1268"/>
      <c r="C9" s="1268"/>
      <c r="D9" s="1269"/>
      <c r="E9" s="1268"/>
      <c r="F9" s="1270"/>
      <c r="H9" s="1271"/>
      <c r="I9" s="1272"/>
      <c r="J9" s="571"/>
      <c r="K9" s="1270"/>
      <c r="L9" s="1270"/>
    </row>
    <row r="10" spans="1:12" s="972" customFormat="1" ht="18.75" x14ac:dyDescent="0.3">
      <c r="B10" s="1273" t="s">
        <v>479</v>
      </c>
      <c r="C10" s="1273"/>
      <c r="D10" s="1274"/>
      <c r="E10" s="1273"/>
      <c r="F10" s="1251"/>
      <c r="G10" s="1275"/>
      <c r="H10" s="971"/>
      <c r="I10" s="971"/>
      <c r="J10" s="971"/>
      <c r="K10" s="971"/>
      <c r="L10" s="971"/>
    </row>
    <row r="11" spans="1:12" s="258" customFormat="1" ht="15" x14ac:dyDescent="0.25">
      <c r="B11" s="1276" t="s">
        <v>163</v>
      </c>
      <c r="C11" s="402"/>
      <c r="D11" s="594"/>
      <c r="E11" s="402"/>
      <c r="F11" s="422"/>
      <c r="G11" s="1277"/>
      <c r="H11" s="1278"/>
      <c r="I11" s="1278"/>
      <c r="J11" s="1278"/>
      <c r="K11" s="1278"/>
      <c r="L11" s="1278"/>
    </row>
    <row r="12" spans="1:12" s="258" customFormat="1" ht="15" x14ac:dyDescent="0.25">
      <c r="B12" s="1279" t="s">
        <v>159</v>
      </c>
      <c r="C12" s="402"/>
      <c r="D12" s="594"/>
      <c r="E12" s="402"/>
      <c r="F12" s="422"/>
      <c r="G12" s="1277"/>
      <c r="H12" s="1278"/>
      <c r="I12" s="1278"/>
      <c r="J12" s="1278"/>
      <c r="K12" s="1278"/>
      <c r="L12" s="1278"/>
    </row>
    <row r="13" spans="1:12" s="281" customFormat="1" x14ac:dyDescent="0.2">
      <c r="B13" s="1280"/>
      <c r="C13" s="1280"/>
      <c r="D13" s="1281"/>
      <c r="E13" s="1265"/>
      <c r="F13" s="390"/>
      <c r="H13" s="390"/>
      <c r="I13" s="390"/>
      <c r="J13" s="390"/>
      <c r="K13" s="390"/>
      <c r="L13" s="390"/>
    </row>
    <row r="14" spans="1:12" s="258" customFormat="1" ht="15" x14ac:dyDescent="0.25">
      <c r="B14" s="1282" t="s">
        <v>39</v>
      </c>
      <c r="C14" s="1688" t="s">
        <v>865</v>
      </c>
      <c r="D14" s="1689"/>
      <c r="E14" s="1283" t="s">
        <v>338</v>
      </c>
      <c r="F14" s="1284"/>
      <c r="H14" s="259"/>
      <c r="I14" s="259"/>
      <c r="J14" s="259"/>
      <c r="K14" s="259"/>
      <c r="L14" s="259"/>
    </row>
    <row r="15" spans="1:12" s="258" customFormat="1" ht="15" x14ac:dyDescent="0.25">
      <c r="B15" s="1282"/>
      <c r="C15" s="594"/>
      <c r="D15" s="1285" t="s">
        <v>116</v>
      </c>
      <c r="E15" s="1286"/>
      <c r="F15" s="1284"/>
      <c r="H15" s="259"/>
      <c r="I15" s="259"/>
      <c r="J15" s="259"/>
      <c r="K15" s="259"/>
      <c r="L15" s="259"/>
    </row>
    <row r="16" spans="1:12" s="258" customFormat="1" ht="15" customHeight="1" x14ac:dyDescent="0.25">
      <c r="B16" s="1282" t="s">
        <v>40</v>
      </c>
      <c r="C16" s="1676" t="s">
        <v>866</v>
      </c>
      <c r="D16" s="1677"/>
      <c r="E16" s="1283" t="s">
        <v>339</v>
      </c>
      <c r="F16" s="1284"/>
      <c r="H16" s="259"/>
      <c r="I16" s="259"/>
      <c r="J16" s="259"/>
      <c r="K16" s="259"/>
      <c r="L16" s="259"/>
    </row>
    <row r="17" spans="2:12" s="258" customFormat="1" ht="15" x14ac:dyDescent="0.25">
      <c r="B17" s="1282"/>
      <c r="C17" s="1678"/>
      <c r="D17" s="1679"/>
      <c r="E17" s="1283"/>
      <c r="F17" s="1284"/>
      <c r="H17" s="259"/>
      <c r="I17" s="259"/>
      <c r="J17" s="259"/>
      <c r="K17" s="259"/>
      <c r="L17" s="259"/>
    </row>
    <row r="18" spans="2:12" s="258" customFormat="1" ht="15" x14ac:dyDescent="0.25">
      <c r="B18" s="1282"/>
      <c r="C18" s="1680"/>
      <c r="D18" s="1681"/>
      <c r="E18" s="1283"/>
      <c r="F18" s="1284"/>
      <c r="H18" s="259"/>
      <c r="I18" s="259"/>
      <c r="J18" s="259"/>
      <c r="K18" s="259"/>
      <c r="L18" s="259"/>
    </row>
    <row r="19" spans="2:12" s="258" customFormat="1" ht="15" x14ac:dyDescent="0.25">
      <c r="B19" s="1282"/>
      <c r="C19" s="594"/>
      <c r="D19" s="1285"/>
      <c r="E19" s="1286"/>
      <c r="F19" s="1284"/>
      <c r="H19" s="259"/>
      <c r="I19" s="259"/>
      <c r="J19" s="259"/>
      <c r="K19" s="259"/>
      <c r="L19" s="259"/>
    </row>
    <row r="20" spans="2:12" s="258" customFormat="1" ht="15" x14ac:dyDescent="0.25">
      <c r="B20" s="1282" t="s">
        <v>117</v>
      </c>
      <c r="C20" s="1673" t="s">
        <v>867</v>
      </c>
      <c r="D20" s="1674"/>
      <c r="E20" s="1283" t="s">
        <v>833</v>
      </c>
      <c r="F20" s="1284"/>
      <c r="H20" s="259"/>
      <c r="I20" s="259"/>
      <c r="J20" s="259"/>
      <c r="K20" s="259"/>
      <c r="L20" s="259"/>
    </row>
    <row r="21" spans="2:12" s="258" customFormat="1" ht="15" x14ac:dyDescent="0.25">
      <c r="B21" s="1282"/>
      <c r="C21" s="594"/>
      <c r="D21" s="760"/>
      <c r="E21" s="1287"/>
      <c r="F21" s="1284"/>
      <c r="H21" s="259"/>
      <c r="I21" s="259"/>
      <c r="J21" s="259"/>
      <c r="K21" s="259"/>
      <c r="L21" s="259"/>
    </row>
    <row r="22" spans="2:12" s="258" customFormat="1" ht="15" x14ac:dyDescent="0.25">
      <c r="B22" s="1282" t="s">
        <v>41</v>
      </c>
      <c r="C22" s="226">
        <v>42370</v>
      </c>
      <c r="D22" s="1288" t="s">
        <v>472</v>
      </c>
      <c r="E22" s="1287"/>
      <c r="F22" s="1284"/>
      <c r="H22" s="259"/>
      <c r="I22" s="259"/>
      <c r="J22" s="259"/>
      <c r="L22" s="259"/>
    </row>
    <row r="23" spans="2:12" s="258" customFormat="1" ht="30" customHeight="1" x14ac:dyDescent="0.25">
      <c r="B23" s="1252" t="s">
        <v>782</v>
      </c>
      <c r="C23" s="226">
        <v>42736</v>
      </c>
      <c r="D23" s="1288"/>
      <c r="E23" s="1287"/>
      <c r="F23" s="1284"/>
      <c r="H23" s="259"/>
      <c r="I23" s="259"/>
      <c r="J23" s="259"/>
      <c r="L23" s="259"/>
    </row>
    <row r="24" spans="2:12" s="258" customFormat="1" ht="15" x14ac:dyDescent="0.25">
      <c r="B24" s="1282"/>
      <c r="C24" s="594"/>
      <c r="D24" s="1285"/>
      <c r="E24" s="1286"/>
      <c r="F24" s="1284"/>
      <c r="H24" s="259"/>
      <c r="I24" s="259"/>
      <c r="J24" s="259"/>
      <c r="K24" s="259"/>
      <c r="L24" s="259"/>
    </row>
    <row r="25" spans="2:12" s="258" customFormat="1" ht="15" customHeight="1" x14ac:dyDescent="0.25">
      <c r="B25" s="1282" t="s">
        <v>42</v>
      </c>
      <c r="C25" s="1682" t="s">
        <v>700</v>
      </c>
      <c r="D25" s="1683"/>
      <c r="E25" s="1283" t="s">
        <v>340</v>
      </c>
      <c r="F25" s="1284"/>
      <c r="H25" s="259"/>
      <c r="I25" s="259"/>
      <c r="J25" s="259"/>
      <c r="K25" s="259"/>
      <c r="L25" s="259"/>
    </row>
    <row r="26" spans="2:12" s="258" customFormat="1" ht="15" x14ac:dyDescent="0.25">
      <c r="B26" s="402"/>
      <c r="C26" s="1684" t="s">
        <v>476</v>
      </c>
      <c r="D26" s="1685"/>
      <c r="E26" s="1283" t="s">
        <v>341</v>
      </c>
      <c r="F26" s="1284"/>
      <c r="H26" s="259"/>
      <c r="I26" s="259"/>
      <c r="J26" s="259"/>
      <c r="K26" s="259"/>
      <c r="L26" s="259"/>
    </row>
    <row r="27" spans="2:12" s="258" customFormat="1" ht="15" x14ac:dyDescent="0.25">
      <c r="B27" s="402"/>
      <c r="C27" s="1686" t="s">
        <v>519</v>
      </c>
      <c r="D27" s="1687"/>
      <c r="E27" s="1283" t="s">
        <v>342</v>
      </c>
      <c r="F27" s="1284"/>
      <c r="H27" s="259"/>
      <c r="I27" s="259"/>
      <c r="J27" s="259"/>
      <c r="K27" s="259"/>
      <c r="L27" s="259"/>
    </row>
    <row r="28" spans="2:12" s="258" customFormat="1" ht="15" x14ac:dyDescent="0.25">
      <c r="B28" s="402"/>
      <c r="C28" s="594"/>
      <c r="D28" s="1285"/>
      <c r="E28" s="1289"/>
      <c r="F28" s="1284"/>
      <c r="H28" s="259"/>
      <c r="I28" s="259"/>
      <c r="J28" s="259"/>
      <c r="K28" s="259"/>
      <c r="L28" s="259"/>
    </row>
    <row r="29" spans="2:12" s="972" customFormat="1" ht="18.75" x14ac:dyDescent="0.3">
      <c r="B29" s="1273" t="s">
        <v>399</v>
      </c>
      <c r="C29" s="1273"/>
      <c r="D29" s="1274"/>
      <c r="E29" s="1273"/>
      <c r="F29" s="1251"/>
      <c r="G29" s="1275"/>
      <c r="H29" s="971"/>
      <c r="I29" s="971"/>
      <c r="J29" s="971"/>
      <c r="K29" s="971"/>
      <c r="L29" s="971"/>
    </row>
    <row r="30" spans="2:12" s="258" customFormat="1" ht="15" x14ac:dyDescent="0.25">
      <c r="B30" s="1276" t="s">
        <v>163</v>
      </c>
      <c r="C30" s="594"/>
      <c r="D30" s="1285"/>
      <c r="E30" s="1289"/>
      <c r="F30" s="1284"/>
      <c r="H30" s="259"/>
      <c r="I30" s="259"/>
      <c r="J30" s="259"/>
      <c r="K30" s="259"/>
      <c r="L30" s="259"/>
    </row>
    <row r="31" spans="2:12" s="258" customFormat="1" ht="15" x14ac:dyDescent="0.25">
      <c r="B31" s="1279" t="s">
        <v>394</v>
      </c>
      <c r="C31" s="594"/>
      <c r="D31" s="1285"/>
      <c r="E31" s="1289"/>
      <c r="F31" s="1284"/>
      <c r="H31" s="259"/>
      <c r="I31" s="259"/>
      <c r="J31" s="259"/>
      <c r="K31" s="259"/>
      <c r="L31" s="259"/>
    </row>
    <row r="32" spans="2:12" s="258" customFormat="1" ht="15" x14ac:dyDescent="0.25">
      <c r="B32" s="402"/>
      <c r="C32" s="594"/>
      <c r="D32" s="1285"/>
      <c r="E32" s="1289"/>
      <c r="F32" s="1284"/>
      <c r="H32" s="259"/>
      <c r="I32" s="259"/>
      <c r="J32" s="259"/>
      <c r="K32" s="259"/>
      <c r="L32" s="259"/>
    </row>
    <row r="33" spans="2:13" s="258" customFormat="1" ht="15.75" thickBot="1" x14ac:dyDescent="0.3">
      <c r="B33" s="402"/>
      <c r="C33" s="594"/>
      <c r="D33" s="1285"/>
      <c r="E33" s="1289"/>
      <c r="F33" s="1284"/>
      <c r="H33" s="259"/>
      <c r="I33" s="259"/>
      <c r="J33" s="259"/>
      <c r="K33" s="259"/>
      <c r="L33" s="259"/>
    </row>
    <row r="34" spans="2:13" s="258" customFormat="1" ht="77.25" customHeight="1" x14ac:dyDescent="0.25">
      <c r="B34" s="402"/>
      <c r="C34" s="1058" t="s">
        <v>393</v>
      </c>
      <c r="D34" s="1290" t="s">
        <v>391</v>
      </c>
      <c r="E34" s="1695" t="s">
        <v>392</v>
      </c>
      <c r="F34" s="1696"/>
      <c r="G34" s="1690" t="s">
        <v>682</v>
      </c>
      <c r="H34" s="1691"/>
      <c r="I34" s="1694" t="s">
        <v>164</v>
      </c>
      <c r="J34" s="1694"/>
      <c r="K34" s="1086" t="s">
        <v>502</v>
      </c>
      <c r="L34" s="1087" t="s">
        <v>473</v>
      </c>
      <c r="M34" s="422"/>
    </row>
    <row r="35" spans="2:13" s="258" customFormat="1" ht="16.5" thickBot="1" x14ac:dyDescent="0.3">
      <c r="B35" s="188" t="s">
        <v>696</v>
      </c>
      <c r="C35" s="1291" t="str">
        <f>C14</f>
        <v>Project Name</v>
      </c>
      <c r="D35" s="1292" t="str">
        <f>C16</f>
        <v>Project Address</v>
      </c>
      <c r="E35" s="1697" t="str">
        <f>C20</f>
        <v>BBL</v>
      </c>
      <c r="F35" s="1698"/>
      <c r="G35" s="1692"/>
      <c r="H35" s="1693"/>
      <c r="I35" s="1699"/>
      <c r="J35" s="1699"/>
      <c r="K35" s="225"/>
      <c r="L35" s="1293">
        <f>C22</f>
        <v>42370</v>
      </c>
    </row>
    <row r="36" spans="2:13" s="258" customFormat="1" ht="15.75" hidden="1" thickBot="1" x14ac:dyDescent="0.3">
      <c r="B36" s="1282" t="s">
        <v>395</v>
      </c>
      <c r="C36" s="594"/>
      <c r="D36" s="1285"/>
      <c r="E36" s="1289"/>
      <c r="F36" s="1284"/>
      <c r="G36" s="1700"/>
      <c r="H36" s="1701"/>
      <c r="I36" s="1702"/>
      <c r="J36" s="1703"/>
      <c r="K36" s="571"/>
      <c r="L36" s="259"/>
    </row>
    <row r="37" spans="2:13" s="258" customFormat="1" ht="15" x14ac:dyDescent="0.25">
      <c r="B37" s="402"/>
      <c r="C37" s="594"/>
      <c r="D37" s="1285"/>
      <c r="E37" s="1289"/>
      <c r="F37" s="1284"/>
      <c r="H37" s="259"/>
      <c r="I37" s="1294"/>
      <c r="J37" s="259"/>
      <c r="K37" s="259"/>
      <c r="L37" s="259"/>
    </row>
    <row r="38" spans="2:13" s="281" customFormat="1" ht="15.75" thickBot="1" x14ac:dyDescent="0.3">
      <c r="B38" s="1265"/>
      <c r="C38" s="1265"/>
      <c r="D38" s="1266"/>
      <c r="E38" s="1295"/>
      <c r="F38" s="1284"/>
      <c r="H38" s="390"/>
      <c r="I38" s="390"/>
      <c r="J38" s="390"/>
      <c r="K38" s="390"/>
      <c r="L38" s="390"/>
    </row>
    <row r="39" spans="2:13" s="258" customFormat="1" ht="15" x14ac:dyDescent="0.25">
      <c r="B39" s="1707" t="s">
        <v>842</v>
      </c>
      <c r="C39" s="1708"/>
      <c r="D39" s="1708"/>
      <c r="E39" s="1708"/>
      <c r="F39" s="1708"/>
      <c r="G39" s="1708"/>
      <c r="H39" s="1708"/>
      <c r="I39" s="1708"/>
      <c r="J39" s="1708"/>
      <c r="K39" s="1708"/>
      <c r="L39" s="1709"/>
    </row>
    <row r="40" spans="2:13" s="258" customFormat="1" ht="15" x14ac:dyDescent="0.25">
      <c r="B40" s="1296" t="s">
        <v>808</v>
      </c>
      <c r="C40" s="1713" t="s">
        <v>50</v>
      </c>
      <c r="D40" s="1714"/>
      <c r="E40" s="1714"/>
      <c r="F40" s="1714"/>
      <c r="G40" s="1714"/>
      <c r="H40" s="1714"/>
      <c r="I40" s="1714"/>
      <c r="J40" s="1714"/>
      <c r="K40" s="1714"/>
      <c r="L40" s="1715"/>
    </row>
    <row r="41" spans="2:13" s="278" customFormat="1" ht="15" x14ac:dyDescent="0.2">
      <c r="B41" s="1297">
        <v>1</v>
      </c>
      <c r="C41" s="1704" t="s">
        <v>809</v>
      </c>
      <c r="D41" s="1705"/>
      <c r="E41" s="1705"/>
      <c r="F41" s="1705"/>
      <c r="G41" s="1705"/>
      <c r="H41" s="1705"/>
      <c r="I41" s="1705"/>
      <c r="J41" s="1705"/>
      <c r="K41" s="1705"/>
      <c r="L41" s="1706"/>
    </row>
    <row r="42" spans="2:13" s="278" customFormat="1" ht="15" x14ac:dyDescent="0.2">
      <c r="B42" s="1297">
        <v>2</v>
      </c>
      <c r="C42" s="1704" t="s">
        <v>810</v>
      </c>
      <c r="D42" s="1705"/>
      <c r="E42" s="1705"/>
      <c r="F42" s="1705"/>
      <c r="G42" s="1705"/>
      <c r="H42" s="1705"/>
      <c r="I42" s="1705"/>
      <c r="J42" s="1705"/>
      <c r="K42" s="1705"/>
      <c r="L42" s="1706"/>
    </row>
    <row r="43" spans="2:13" s="278" customFormat="1" ht="15" x14ac:dyDescent="0.2">
      <c r="B43" s="1297">
        <v>3</v>
      </c>
      <c r="C43" s="1704" t="s">
        <v>811</v>
      </c>
      <c r="D43" s="1705"/>
      <c r="E43" s="1705"/>
      <c r="F43" s="1705"/>
      <c r="G43" s="1705"/>
      <c r="H43" s="1705"/>
      <c r="I43" s="1705"/>
      <c r="J43" s="1705"/>
      <c r="K43" s="1705"/>
      <c r="L43" s="1706"/>
    </row>
    <row r="44" spans="2:13" s="278" customFormat="1" ht="15" x14ac:dyDescent="0.2">
      <c r="B44" s="1297">
        <v>4</v>
      </c>
      <c r="C44" s="1704" t="s">
        <v>812</v>
      </c>
      <c r="D44" s="1705"/>
      <c r="E44" s="1705"/>
      <c r="F44" s="1705"/>
      <c r="G44" s="1705"/>
      <c r="H44" s="1705"/>
      <c r="I44" s="1705"/>
      <c r="J44" s="1705"/>
      <c r="K44" s="1705"/>
      <c r="L44" s="1706"/>
    </row>
    <row r="45" spans="2:13" s="278" customFormat="1" ht="15" x14ac:dyDescent="0.2">
      <c r="B45" s="1297">
        <v>5</v>
      </c>
      <c r="C45" s="1704" t="s">
        <v>813</v>
      </c>
      <c r="D45" s="1705"/>
      <c r="E45" s="1705"/>
      <c r="F45" s="1705"/>
      <c r="G45" s="1705"/>
      <c r="H45" s="1705"/>
      <c r="I45" s="1705"/>
      <c r="J45" s="1705"/>
      <c r="K45" s="1705"/>
      <c r="L45" s="1706"/>
    </row>
    <row r="46" spans="2:13" s="278" customFormat="1" ht="15" x14ac:dyDescent="0.2">
      <c r="B46" s="1297">
        <v>6</v>
      </c>
      <c r="C46" s="1704" t="s">
        <v>814</v>
      </c>
      <c r="D46" s="1705"/>
      <c r="E46" s="1705"/>
      <c r="F46" s="1705"/>
      <c r="G46" s="1705"/>
      <c r="H46" s="1705"/>
      <c r="I46" s="1705"/>
      <c r="J46" s="1705"/>
      <c r="K46" s="1705"/>
      <c r="L46" s="1706"/>
    </row>
    <row r="47" spans="2:13" s="278" customFormat="1" ht="15" x14ac:dyDescent="0.2">
      <c r="B47" s="1297">
        <v>7</v>
      </c>
      <c r="C47" s="1704" t="s">
        <v>815</v>
      </c>
      <c r="D47" s="1705"/>
      <c r="E47" s="1705"/>
      <c r="F47" s="1705"/>
      <c r="G47" s="1705"/>
      <c r="H47" s="1705"/>
      <c r="I47" s="1705"/>
      <c r="J47" s="1705"/>
      <c r="K47" s="1705"/>
      <c r="L47" s="1706"/>
    </row>
    <row r="48" spans="2:13" s="278" customFormat="1" ht="15" x14ac:dyDescent="0.2">
      <c r="B48" s="1297">
        <v>8</v>
      </c>
      <c r="C48" s="1704" t="s">
        <v>816</v>
      </c>
      <c r="D48" s="1705"/>
      <c r="E48" s="1705"/>
      <c r="F48" s="1705"/>
      <c r="G48" s="1705"/>
      <c r="H48" s="1705"/>
      <c r="I48" s="1705"/>
      <c r="J48" s="1705"/>
      <c r="K48" s="1705"/>
      <c r="L48" s="1706"/>
    </row>
    <row r="49" spans="2:46" s="278" customFormat="1" ht="15.75" thickBot="1" x14ac:dyDescent="0.25">
      <c r="B49" s="1298">
        <v>9</v>
      </c>
      <c r="C49" s="1710" t="s">
        <v>817</v>
      </c>
      <c r="D49" s="1711"/>
      <c r="E49" s="1711"/>
      <c r="F49" s="1711"/>
      <c r="G49" s="1711"/>
      <c r="H49" s="1711"/>
      <c r="I49" s="1711"/>
      <c r="J49" s="1711"/>
      <c r="K49" s="1711"/>
      <c r="L49" s="1712"/>
    </row>
    <row r="50" spans="2:46" s="258" customFormat="1" ht="15" x14ac:dyDescent="0.25">
      <c r="B50" s="403"/>
      <c r="C50" s="403"/>
      <c r="D50" s="840"/>
      <c r="E50" s="403"/>
      <c r="F50" s="259"/>
      <c r="H50" s="259"/>
      <c r="I50" s="259"/>
      <c r="J50" s="259"/>
      <c r="K50" s="259"/>
      <c r="L50" s="259"/>
    </row>
    <row r="51" spans="2:46" s="972" customFormat="1" ht="18.75" x14ac:dyDescent="0.3">
      <c r="B51" s="1273" t="s">
        <v>400</v>
      </c>
      <c r="C51" s="1273"/>
      <c r="D51" s="1274"/>
      <c r="E51" s="1273"/>
      <c r="F51" s="1251"/>
      <c r="G51" s="1275"/>
      <c r="H51" s="971"/>
      <c r="I51" s="971"/>
      <c r="J51" s="971"/>
      <c r="K51" s="971"/>
      <c r="L51" s="971"/>
    </row>
    <row r="52" spans="2:46" s="258" customFormat="1" ht="15" x14ac:dyDescent="0.25">
      <c r="B52" s="403"/>
      <c r="C52" s="403"/>
      <c r="D52" s="840"/>
      <c r="E52" s="403"/>
      <c r="F52" s="259"/>
      <c r="H52" s="259"/>
      <c r="I52" s="259"/>
      <c r="J52" s="259"/>
      <c r="K52" s="259"/>
      <c r="L52" s="259"/>
    </row>
    <row r="53" spans="2:46" s="1305" customFormat="1" ht="23.25" x14ac:dyDescent="0.35">
      <c r="B53" s="1299" t="str">
        <f>CONCATENATE("SITE: ",C35," -- ",D35)</f>
        <v>SITE: Project Name -- Project Address</v>
      </c>
      <c r="C53" s="1300" t="s">
        <v>841</v>
      </c>
      <c r="D53" s="1301"/>
      <c r="E53" s="1300"/>
      <c r="F53" s="1302"/>
      <c r="G53" s="1303"/>
      <c r="H53" s="1304"/>
      <c r="I53" s="1304"/>
      <c r="J53" s="1304"/>
      <c r="K53" s="1304"/>
      <c r="L53" s="1304"/>
    </row>
    <row r="54" spans="2:46" s="281" customFormat="1" ht="15.75" x14ac:dyDescent="0.25">
      <c r="B54" s="1306" t="s">
        <v>85</v>
      </c>
      <c r="C54" s="1306"/>
      <c r="D54" s="1307"/>
      <c r="E54" s="1308"/>
      <c r="F54" s="1309"/>
      <c r="G54" s="1310"/>
      <c r="H54" s="1309"/>
      <c r="I54" s="1309"/>
      <c r="J54" s="1309"/>
      <c r="K54" s="1309"/>
      <c r="L54" s="1309"/>
      <c r="M54" s="1309"/>
    </row>
    <row r="55" spans="2:46" s="258" customFormat="1" ht="15" x14ac:dyDescent="0.25">
      <c r="B55" s="639" t="s">
        <v>163</v>
      </c>
      <c r="C55" s="1311"/>
      <c r="D55" s="1294"/>
      <c r="E55" s="1312"/>
      <c r="F55" s="1313"/>
      <c r="G55" s="319"/>
      <c r="H55" s="1313"/>
      <c r="I55" s="1313"/>
      <c r="J55" s="1313"/>
      <c r="K55" s="1313"/>
      <c r="L55" s="1313"/>
    </row>
    <row r="56" spans="2:46" s="281" customFormat="1" ht="15.75" customHeight="1" x14ac:dyDescent="0.2">
      <c r="B56" s="1675" t="s">
        <v>893</v>
      </c>
      <c r="C56" s="1675"/>
      <c r="D56" s="1675"/>
      <c r="E56" s="1675"/>
      <c r="F56" s="1675"/>
      <c r="G56" s="1675"/>
      <c r="H56" s="1675"/>
      <c r="I56" s="1675"/>
      <c r="J56" s="1675"/>
      <c r="K56" s="1675"/>
      <c r="L56" s="1675"/>
    </row>
    <row r="57" spans="2:46" s="281" customFormat="1" ht="15.75" customHeight="1" x14ac:dyDescent="0.2">
      <c r="B57" s="1675"/>
      <c r="C57" s="1675"/>
      <c r="D57" s="1675"/>
      <c r="E57" s="1675"/>
      <c r="F57" s="1675"/>
      <c r="G57" s="1675"/>
      <c r="H57" s="1675"/>
      <c r="I57" s="1675"/>
      <c r="J57" s="1675"/>
      <c r="K57" s="1675"/>
      <c r="L57" s="1675"/>
      <c r="Y57" s="372"/>
    </row>
    <row r="58" spans="2:46" s="281" customFormat="1" ht="15.75" customHeight="1" x14ac:dyDescent="0.2">
      <c r="B58" s="1314" t="s">
        <v>777</v>
      </c>
      <c r="C58" s="1267"/>
      <c r="D58" s="1267"/>
      <c r="E58" s="1267"/>
      <c r="F58" s="1267"/>
      <c r="G58" s="1267"/>
      <c r="H58" s="1267"/>
      <c r="I58" s="1267"/>
      <c r="J58" s="1267"/>
      <c r="K58" s="1267"/>
      <c r="L58" s="1267"/>
    </row>
    <row r="59" spans="2:46" s="281" customFormat="1" ht="15.75" customHeight="1" x14ac:dyDescent="0.2">
      <c r="C59" s="1267"/>
      <c r="D59" s="1267"/>
      <c r="E59" s="1267"/>
      <c r="F59" s="1267"/>
      <c r="G59" s="1267"/>
      <c r="H59" s="1267"/>
      <c r="I59" s="1267"/>
      <c r="J59" s="1267"/>
      <c r="K59" s="1267"/>
      <c r="L59" s="1267"/>
    </row>
    <row r="60" spans="2:46" s="281" customFormat="1" ht="67.5" customHeight="1" thickBot="1" x14ac:dyDescent="0.25">
      <c r="B60" s="1723" t="s">
        <v>868</v>
      </c>
      <c r="C60" s="1724"/>
      <c r="D60" s="1724"/>
      <c r="E60" s="1724"/>
      <c r="F60" s="1724"/>
      <c r="G60" s="1724"/>
      <c r="H60" s="1724"/>
      <c r="I60" s="1724"/>
      <c r="J60" s="1724"/>
      <c r="K60" s="1724"/>
      <c r="L60" s="1724"/>
      <c r="M60" s="1724"/>
    </row>
    <row r="61" spans="2:46" s="1281" customFormat="1" ht="15" customHeight="1" thickBot="1" x14ac:dyDescent="0.25">
      <c r="B61" s="569"/>
      <c r="C61" s="569"/>
      <c r="D61" s="569"/>
      <c r="E61" s="569"/>
      <c r="F61" s="569"/>
      <c r="G61" s="569"/>
      <c r="H61" s="569"/>
      <c r="I61" s="569"/>
      <c r="J61" s="569"/>
      <c r="K61" s="569"/>
      <c r="L61" s="569"/>
      <c r="V61" s="1315"/>
      <c r="W61" s="1729" t="s">
        <v>75</v>
      </c>
      <c r="X61" s="1730"/>
      <c r="Y61" s="1730"/>
      <c r="Z61" s="1731"/>
      <c r="AA61" s="1729" t="s">
        <v>82</v>
      </c>
      <c r="AB61" s="1730"/>
      <c r="AC61" s="1730"/>
      <c r="AD61" s="1731"/>
      <c r="AE61" s="1729" t="s">
        <v>146</v>
      </c>
      <c r="AF61" s="1730"/>
      <c r="AG61" s="1730"/>
      <c r="AH61" s="1731"/>
      <c r="AI61" s="1729" t="s">
        <v>426</v>
      </c>
      <c r="AJ61" s="1730"/>
      <c r="AK61" s="1730"/>
      <c r="AL61" s="1731"/>
      <c r="AM61" s="1729" t="s">
        <v>79</v>
      </c>
      <c r="AN61" s="1730"/>
      <c r="AO61" s="1730"/>
      <c r="AP61" s="1731"/>
      <c r="AQ61" s="1729" t="s">
        <v>427</v>
      </c>
      <c r="AR61" s="1730"/>
      <c r="AS61" s="1730"/>
      <c r="AT61" s="1731"/>
    </row>
    <row r="62" spans="2:46" s="616" customFormat="1" ht="15.75" customHeight="1" x14ac:dyDescent="0.25">
      <c r="B62" s="1725" t="s">
        <v>401</v>
      </c>
      <c r="C62" s="1717"/>
      <c r="D62" s="1726"/>
      <c r="E62" s="1716" t="s">
        <v>398</v>
      </c>
      <c r="F62" s="1716" t="s">
        <v>892</v>
      </c>
      <c r="G62" s="1717"/>
      <c r="H62" s="1717"/>
      <c r="I62" s="1717"/>
      <c r="J62" s="1717"/>
      <c r="K62" s="1717"/>
      <c r="L62" s="1717"/>
      <c r="M62" s="1718"/>
      <c r="N62" s="1316"/>
      <c r="O62" s="1316"/>
      <c r="P62" s="1316"/>
      <c r="Q62" s="1316"/>
      <c r="R62" s="1316"/>
      <c r="S62" s="1316"/>
      <c r="T62" s="1316"/>
      <c r="U62" s="1316"/>
      <c r="V62" s="1317" t="s">
        <v>58</v>
      </c>
      <c r="W62" s="1318">
        <f>'2. Indoor Water Demand'!$C$20</f>
        <v>2</v>
      </c>
      <c r="X62" s="1319" t="str">
        <f>'2. Indoor Water Demand'!$D$20</f>
        <v>gpm</v>
      </c>
      <c r="Y62" s="1320"/>
      <c r="Z62" s="1321"/>
      <c r="AA62" s="1318">
        <f>'2. Indoor Water Demand'!$C$21</f>
        <v>1.5</v>
      </c>
      <c r="AB62" s="1319" t="str">
        <f>'2. Indoor Water Demand'!$D$21</f>
        <v>gpm</v>
      </c>
      <c r="AC62" s="1320"/>
      <c r="AD62" s="1321"/>
      <c r="AE62" s="1318">
        <f>'2. Indoor Water Demand'!$C$22</f>
        <v>0.5</v>
      </c>
      <c r="AF62" s="1319" t="str">
        <f>'2. Indoor Water Demand'!$D$22</f>
        <v>gpf</v>
      </c>
      <c r="AG62" s="1320"/>
      <c r="AH62" s="1321"/>
      <c r="AI62" s="1318">
        <f>'2. Indoor Water Demand'!$C$23</f>
        <v>1.28</v>
      </c>
      <c r="AJ62" s="1319" t="str">
        <f>'2. Indoor Water Demand'!$D$23</f>
        <v>gpf</v>
      </c>
      <c r="AK62" s="1320"/>
      <c r="AL62" s="1321"/>
      <c r="AM62" s="1318">
        <f>'2. Indoor Water Demand'!$C$24</f>
        <v>2.2000000000000002</v>
      </c>
      <c r="AN62" s="1319" t="str">
        <f>'2. Indoor Water Demand'!$D$24</f>
        <v>gpm</v>
      </c>
      <c r="AO62" s="1320"/>
      <c r="AP62" s="1321"/>
      <c r="AQ62" s="1318">
        <f>'2. Indoor Water Demand'!$C$25</f>
        <v>82.51</v>
      </c>
      <c r="AR62" s="1319" t="str">
        <f>'2. Indoor Water Demand'!$D$25</f>
        <v>gal/emp/day</v>
      </c>
      <c r="AS62" s="1320"/>
      <c r="AT62" s="1321"/>
    </row>
    <row r="63" spans="2:46" s="616" customFormat="1" ht="20.25" customHeight="1" x14ac:dyDescent="0.25">
      <c r="B63" s="1727"/>
      <c r="C63" s="1720"/>
      <c r="D63" s="1728"/>
      <c r="E63" s="1719"/>
      <c r="F63" s="1719"/>
      <c r="G63" s="1720"/>
      <c r="H63" s="1720"/>
      <c r="I63" s="1720"/>
      <c r="J63" s="1720"/>
      <c r="K63" s="1720"/>
      <c r="L63" s="1720"/>
      <c r="M63" s="1721"/>
      <c r="N63" s="1316"/>
      <c r="O63" s="1316"/>
      <c r="P63" s="1316"/>
      <c r="Q63" s="1316"/>
      <c r="R63" s="1316"/>
      <c r="S63" s="1316"/>
      <c r="T63" s="1316"/>
      <c r="U63" s="1316"/>
      <c r="V63" s="1317" t="s">
        <v>389</v>
      </c>
      <c r="W63" s="1322">
        <f>'2. Indoor Water Demand'!$E$20</f>
        <v>5</v>
      </c>
      <c r="X63" s="1319" t="str">
        <f>'2. Indoor Water Demand'!$F$20</f>
        <v>min</v>
      </c>
      <c r="Y63" s="1320"/>
      <c r="Z63" s="1321"/>
      <c r="AA63" s="1322">
        <f>'2. Indoor Water Demand'!$E$21</f>
        <v>0.5</v>
      </c>
      <c r="AB63" s="1319" t="str">
        <f>'2. Indoor Water Demand'!$F$21</f>
        <v>min</v>
      </c>
      <c r="AC63" s="1320"/>
      <c r="AD63" s="1321"/>
      <c r="AE63" s="1322">
        <f>'2. Indoor Water Demand'!$E$22</f>
        <v>1</v>
      </c>
      <c r="AF63" s="1319" t="str">
        <f>'2. Indoor Water Demand'!$F$22</f>
        <v>flush</v>
      </c>
      <c r="AG63" s="1320"/>
      <c r="AH63" s="1321"/>
      <c r="AI63" s="1322">
        <f>'2. Indoor Water Demand'!$E$23</f>
        <v>1</v>
      </c>
      <c r="AJ63" s="1319" t="str">
        <f>'2. Indoor Water Demand'!$F$23</f>
        <v>flush</v>
      </c>
      <c r="AK63" s="1320"/>
      <c r="AL63" s="1321"/>
      <c r="AM63" s="1322">
        <f>'2. Indoor Water Demand'!$E$24</f>
        <v>0.25</v>
      </c>
      <c r="AN63" s="1319" t="str">
        <f>'2. Indoor Water Demand'!$F$24</f>
        <v>min</v>
      </c>
      <c r="AO63" s="1320"/>
      <c r="AP63" s="1321"/>
      <c r="AQ63" s="1322">
        <f>'2. Indoor Water Demand'!$E$25</f>
        <v>1</v>
      </c>
      <c r="AR63" s="1319" t="str">
        <f>'2. Indoor Water Demand'!$F$25</f>
        <v>-</v>
      </c>
      <c r="AS63" s="1320"/>
      <c r="AT63" s="1321"/>
    </row>
    <row r="64" spans="2:46" s="616" customFormat="1" ht="15" x14ac:dyDescent="0.25">
      <c r="B64" s="1323" t="s">
        <v>11</v>
      </c>
      <c r="C64" s="1663" t="s">
        <v>12</v>
      </c>
      <c r="D64" s="1664"/>
      <c r="E64" s="1054" t="s">
        <v>13</v>
      </c>
      <c r="F64" s="1054" t="s">
        <v>14</v>
      </c>
      <c r="G64" s="1054"/>
      <c r="H64" s="1054" t="s">
        <v>15</v>
      </c>
      <c r="I64" s="1054"/>
      <c r="J64" s="1054" t="s">
        <v>16</v>
      </c>
      <c r="K64" s="1324"/>
      <c r="L64" s="1054" t="s">
        <v>17</v>
      </c>
      <c r="M64" s="1057" t="s">
        <v>18</v>
      </c>
      <c r="N64" s="1316"/>
      <c r="O64" s="1316"/>
      <c r="P64" s="1316"/>
      <c r="Q64" s="1316"/>
      <c r="R64" s="1316"/>
      <c r="S64" s="1316"/>
      <c r="T64" s="1316"/>
      <c r="U64" s="1316"/>
      <c r="V64" s="1317" t="s">
        <v>424</v>
      </c>
      <c r="W64" s="1322">
        <f>'2. Indoor Water Demand'!$G$20</f>
        <v>0.1</v>
      </c>
      <c r="X64" s="1319"/>
      <c r="Y64" s="1320"/>
      <c r="Z64" s="1321"/>
      <c r="AA64" s="1322">
        <f>'2. Indoor Water Demand'!$G$21</f>
        <v>3</v>
      </c>
      <c r="AB64" s="1319"/>
      <c r="AC64" s="1320"/>
      <c r="AD64" s="1321"/>
      <c r="AE64" s="1322">
        <f>'2. Indoor Water Demand'!$G$22</f>
        <v>2</v>
      </c>
      <c r="AF64" s="1319"/>
      <c r="AG64" s="1320"/>
      <c r="AH64" s="1321"/>
      <c r="AI64" s="1322">
        <f>'2. Indoor Water Demand'!$G$23</f>
        <v>3</v>
      </c>
      <c r="AJ64" s="1319"/>
      <c r="AK64" s="1320"/>
      <c r="AL64" s="1321"/>
      <c r="AM64" s="1322">
        <f>'2. Indoor Water Demand'!$G$24</f>
        <v>1</v>
      </c>
      <c r="AN64" s="1319"/>
      <c r="AO64" s="1320"/>
      <c r="AP64" s="1321"/>
      <c r="AQ64" s="1322">
        <f>'2. Indoor Water Demand'!$G$25</f>
        <v>1</v>
      </c>
      <c r="AR64" s="1319"/>
      <c r="AS64" s="1320"/>
      <c r="AT64" s="1321"/>
    </row>
    <row r="65" spans="2:48" s="1334" customFormat="1" ht="45" customHeight="1" thickBot="1" x14ac:dyDescent="0.3">
      <c r="B65" s="1325" t="s">
        <v>49</v>
      </c>
      <c r="C65" s="1665" t="s">
        <v>50</v>
      </c>
      <c r="D65" s="1666"/>
      <c r="E65" s="944" t="s">
        <v>396</v>
      </c>
      <c r="F65" s="944" t="s">
        <v>148</v>
      </c>
      <c r="G65" s="1326"/>
      <c r="H65" s="944" t="s">
        <v>150</v>
      </c>
      <c r="I65" s="1254"/>
      <c r="J65" s="944" t="s">
        <v>150</v>
      </c>
      <c r="K65" s="1327"/>
      <c r="L65" s="944" t="s">
        <v>51</v>
      </c>
      <c r="M65" s="945" t="s">
        <v>88</v>
      </c>
      <c r="N65" s="1328"/>
      <c r="O65" s="1328"/>
      <c r="P65" s="1328"/>
      <c r="Q65" s="1328"/>
      <c r="R65" s="1328"/>
      <c r="S65" s="1328"/>
      <c r="T65" s="1328"/>
      <c r="U65" s="1328"/>
      <c r="V65" s="1329" t="s">
        <v>425</v>
      </c>
      <c r="W65" s="1330">
        <f>'2. Indoor Water Demand'!$H$20</f>
        <v>0</v>
      </c>
      <c r="X65" s="1331"/>
      <c r="Y65" s="1332"/>
      <c r="Z65" s="1333"/>
      <c r="AA65" s="1330">
        <f>'2. Indoor Water Demand'!$H$21</f>
        <v>0.5</v>
      </c>
      <c r="AC65" s="1332"/>
      <c r="AD65" s="1333"/>
      <c r="AE65" s="1330">
        <f>'2. Indoor Water Demand'!$H$22</f>
        <v>0.4</v>
      </c>
      <c r="AG65" s="1332"/>
      <c r="AH65" s="1333"/>
      <c r="AI65" s="1330">
        <f>'2. Indoor Water Demand'!$H$23</f>
        <v>0.5</v>
      </c>
      <c r="AK65" s="1332"/>
      <c r="AL65" s="1333"/>
      <c r="AM65" s="1330">
        <f>'2. Indoor Water Demand'!$H$24</f>
        <v>0</v>
      </c>
      <c r="AO65" s="1332"/>
      <c r="AP65" s="1333"/>
      <c r="AQ65" s="1330">
        <f>'2. Indoor Water Demand'!$H$25</f>
        <v>0</v>
      </c>
      <c r="AS65" s="1332"/>
      <c r="AT65" s="1333"/>
    </row>
    <row r="66" spans="2:48" s="1347" customFormat="1" ht="48.75" customHeight="1" thickBot="1" x14ac:dyDescent="0.25">
      <c r="B66" s="1335" t="s">
        <v>49</v>
      </c>
      <c r="C66" s="1667" t="s">
        <v>52</v>
      </c>
      <c r="D66" s="1668"/>
      <c r="E66" s="1336" t="s">
        <v>397</v>
      </c>
      <c r="F66" s="1336" t="s">
        <v>149</v>
      </c>
      <c r="G66" s="1336"/>
      <c r="H66" s="1337" t="s">
        <v>103</v>
      </c>
      <c r="I66" s="1337"/>
      <c r="J66" s="1337" t="s">
        <v>104</v>
      </c>
      <c r="K66" s="1338"/>
      <c r="L66" s="1667" t="s">
        <v>118</v>
      </c>
      <c r="M66" s="1722"/>
      <c r="N66" s="1339"/>
      <c r="O66" s="1339"/>
      <c r="P66" s="1339"/>
      <c r="Q66" s="1339"/>
      <c r="R66" s="1339"/>
      <c r="S66" s="1339"/>
      <c r="T66" s="1339"/>
      <c r="U66" s="1339"/>
      <c r="V66" s="1340"/>
      <c r="W66" s="1341" t="s">
        <v>428</v>
      </c>
      <c r="X66" s="1342" t="s">
        <v>429</v>
      </c>
      <c r="Y66" s="1343" t="s">
        <v>430</v>
      </c>
      <c r="Z66" s="1344" t="s">
        <v>431</v>
      </c>
      <c r="AA66" s="1341" t="s">
        <v>428</v>
      </c>
      <c r="AB66" s="1342" t="s">
        <v>429</v>
      </c>
      <c r="AC66" s="1343" t="s">
        <v>430</v>
      </c>
      <c r="AD66" s="1344" t="s">
        <v>431</v>
      </c>
      <c r="AE66" s="1341" t="s">
        <v>428</v>
      </c>
      <c r="AF66" s="1342" t="s">
        <v>429</v>
      </c>
      <c r="AG66" s="1343" t="s">
        <v>430</v>
      </c>
      <c r="AH66" s="1344" t="s">
        <v>431</v>
      </c>
      <c r="AI66" s="1341" t="s">
        <v>428</v>
      </c>
      <c r="AJ66" s="1342" t="s">
        <v>429</v>
      </c>
      <c r="AK66" s="1343" t="s">
        <v>430</v>
      </c>
      <c r="AL66" s="1344" t="s">
        <v>431</v>
      </c>
      <c r="AM66" s="1341" t="s">
        <v>428</v>
      </c>
      <c r="AN66" s="1342" t="s">
        <v>429</v>
      </c>
      <c r="AO66" s="1343" t="s">
        <v>430</v>
      </c>
      <c r="AP66" s="1344" t="s">
        <v>431</v>
      </c>
      <c r="AQ66" s="1341" t="s">
        <v>428</v>
      </c>
      <c r="AR66" s="1342" t="s">
        <v>429</v>
      </c>
      <c r="AS66" s="1343" t="s">
        <v>430</v>
      </c>
      <c r="AT66" s="1344" t="s">
        <v>431</v>
      </c>
      <c r="AU66" s="1345" t="s">
        <v>432</v>
      </c>
      <c r="AV66" s="1346" t="s">
        <v>433</v>
      </c>
    </row>
    <row r="67" spans="2:48" s="247" customFormat="1" ht="15" x14ac:dyDescent="0.25">
      <c r="B67" s="1348" t="s">
        <v>105</v>
      </c>
      <c r="C67" s="1669"/>
      <c r="D67" s="1670"/>
      <c r="E67" s="227"/>
      <c r="F67" s="227"/>
      <c r="G67" s="1349" t="s">
        <v>53</v>
      </c>
      <c r="H67" s="842">
        <v>250</v>
      </c>
      <c r="I67" s="1350" t="s">
        <v>53</v>
      </c>
      <c r="J67" s="1351">
        <v>0</v>
      </c>
      <c r="K67" s="1352"/>
      <c r="L67" s="443">
        <f>F67/H67</f>
        <v>0</v>
      </c>
      <c r="M67" s="439">
        <v>0</v>
      </c>
      <c r="N67" s="1353"/>
      <c r="O67" s="1353"/>
      <c r="P67" s="1353"/>
      <c r="Q67" s="1353"/>
      <c r="R67" s="1353"/>
      <c r="S67" s="1353"/>
      <c r="T67" s="1353"/>
      <c r="U67" s="1353"/>
      <c r="V67" s="1354" t="str">
        <f>B67</f>
        <v>General Office</v>
      </c>
      <c r="W67" s="1355">
        <f>L67*0.005</f>
        <v>0</v>
      </c>
      <c r="X67" s="1356">
        <f>0.005*M67</f>
        <v>0</v>
      </c>
      <c r="Y67" s="1356">
        <f>(W$62*W$63*W$64*$W67)+(W$62*W$63*W$65*$X67)</f>
        <v>0</v>
      </c>
      <c r="Z67" s="1357">
        <f>Y67*$E67</f>
        <v>0</v>
      </c>
      <c r="AA67" s="1358">
        <f t="shared" ref="AA67:AA81" si="0">L67</f>
        <v>0</v>
      </c>
      <c r="AB67" s="1359">
        <f t="shared" ref="AB67:AB81" si="1">M67</f>
        <v>0</v>
      </c>
      <c r="AC67" s="1359">
        <f>(AA$62*AA$63*AA$64*$AA67)+(AA$62*AA$63*AA$65*$AB67)</f>
        <v>0</v>
      </c>
      <c r="AD67" s="1357">
        <f>AC67*$E67</f>
        <v>0</v>
      </c>
      <c r="AE67" s="1360">
        <f t="shared" ref="AE67:AE81" si="2">L67*0.5</f>
        <v>0</v>
      </c>
      <c r="AF67" s="1361">
        <f t="shared" ref="AF67:AF81" si="3">M67*0.5</f>
        <v>0</v>
      </c>
      <c r="AG67" s="1359">
        <f>(AE$62*AE$63*AE$64*$AE67)+(AE$62*AE$63*AE$65*$AF67)</f>
        <v>0</v>
      </c>
      <c r="AH67" s="1357">
        <f>AG67*$E67</f>
        <v>0</v>
      </c>
      <c r="AI67" s="1358">
        <f t="shared" ref="AI67:AI81" si="4">L67</f>
        <v>0</v>
      </c>
      <c r="AJ67" s="1359">
        <f t="shared" ref="AJ67:AJ81" si="5">M67</f>
        <v>0</v>
      </c>
      <c r="AK67" s="1359">
        <f>(AI$62*AI$63*AI$64*$AI67)+(AI$62*AI$63*AI$65*$AJ67)</f>
        <v>0</v>
      </c>
      <c r="AL67" s="1357">
        <f>AK67*$E67</f>
        <v>0</v>
      </c>
      <c r="AM67" s="1358">
        <f>L67</f>
        <v>0</v>
      </c>
      <c r="AN67" s="1359">
        <f>M67</f>
        <v>0</v>
      </c>
      <c r="AO67" s="1359">
        <f>(AM$62*AM$63*AM$64*$AM67)+(AM$62*AM$63*AM$65*$AN67)</f>
        <v>0</v>
      </c>
      <c r="AP67" s="1357">
        <f>AO67*$E67</f>
        <v>0</v>
      </c>
      <c r="AQ67" s="1362"/>
      <c r="AR67" s="1363"/>
      <c r="AS67" s="1359">
        <f>(AQ$62*AQ$63*AQ$64*$AQ67)+(AQ$62*AQ$63*AQ$65*$AR67)</f>
        <v>0</v>
      </c>
      <c r="AT67" s="1357">
        <f>AS67*$E67</f>
        <v>0</v>
      </c>
      <c r="AU67" s="1358">
        <f>SUM(Y67,AC67,AG67,AK67,AO67,AS67)</f>
        <v>0</v>
      </c>
      <c r="AV67" s="1364">
        <f>SUM(Z67,AD67,AH67,AL67,AP67,AT67)</f>
        <v>0</v>
      </c>
    </row>
    <row r="68" spans="2:48" s="247" customFormat="1" ht="15" x14ac:dyDescent="0.25">
      <c r="B68" s="1348" t="s">
        <v>106</v>
      </c>
      <c r="C68" s="1669"/>
      <c r="D68" s="1670"/>
      <c r="E68" s="227"/>
      <c r="F68" s="227"/>
      <c r="G68" s="1349" t="s">
        <v>53</v>
      </c>
      <c r="H68" s="842">
        <v>550</v>
      </c>
      <c r="I68" s="1350" t="s">
        <v>53</v>
      </c>
      <c r="J68" s="1351">
        <v>130</v>
      </c>
      <c r="K68" s="1352"/>
      <c r="L68" s="443">
        <f t="shared" ref="L68:L76" si="6">F68/H68</f>
        <v>0</v>
      </c>
      <c r="M68" s="439">
        <f t="shared" ref="M68:M76" si="7">F68/J68</f>
        <v>0</v>
      </c>
      <c r="N68" s="1353"/>
      <c r="O68" s="1353"/>
      <c r="P68" s="1353"/>
      <c r="Q68" s="1353"/>
      <c r="R68" s="1353"/>
      <c r="S68" s="1353"/>
      <c r="T68" s="1353"/>
      <c r="U68" s="1353"/>
      <c r="V68" s="1365" t="str">
        <f t="shared" ref="V68:V82" si="8">B68</f>
        <v>Retail, general</v>
      </c>
      <c r="W68" s="1355">
        <f t="shared" ref="W68:W81" si="9">L68*0.005</f>
        <v>0</v>
      </c>
      <c r="X68" s="1356">
        <f t="shared" ref="X68:X81" si="10">0.005*M68</f>
        <v>0</v>
      </c>
      <c r="Y68" s="1366">
        <f t="shared" ref="Y68:Y81" si="11">(W$62*W$63*W$64*$W68)+(W$62*W$63*W$65*$X68)</f>
        <v>0</v>
      </c>
      <c r="Z68" s="1367">
        <f t="shared" ref="Z68:Z81" si="12">Y68*$E68</f>
        <v>0</v>
      </c>
      <c r="AA68" s="1368">
        <f t="shared" si="0"/>
        <v>0</v>
      </c>
      <c r="AB68" s="335">
        <f t="shared" si="1"/>
        <v>0</v>
      </c>
      <c r="AC68" s="335">
        <f t="shared" ref="AC68:AC81" si="13">(AA$62*AA$63*AA$64*$AA68)+(AA$62*AA$63*AA$65*$AB68)</f>
        <v>0</v>
      </c>
      <c r="AD68" s="1367">
        <f t="shared" ref="AD68:AD81" si="14">AC68*$E68</f>
        <v>0</v>
      </c>
      <c r="AE68" s="1369">
        <f t="shared" si="2"/>
        <v>0</v>
      </c>
      <c r="AF68" s="1370">
        <f t="shared" si="3"/>
        <v>0</v>
      </c>
      <c r="AG68" s="335">
        <f t="shared" ref="AG68:AG81" si="15">(AE$62*AE$63*AE$64*$AE68)+(AE$62*AE$63*AE$65*$AF68)</f>
        <v>0</v>
      </c>
      <c r="AH68" s="1367">
        <f t="shared" ref="AH68:AH81" si="16">AG68*$E68</f>
        <v>0</v>
      </c>
      <c r="AI68" s="1368">
        <f t="shared" si="4"/>
        <v>0</v>
      </c>
      <c r="AJ68" s="335">
        <f t="shared" si="5"/>
        <v>0</v>
      </c>
      <c r="AK68" s="335">
        <f t="shared" ref="AK68:AK81" si="17">(AI$62*AI$63*AI$64*$AI68)+(AI$62*AI$63*AI$65*$AJ68)</f>
        <v>0</v>
      </c>
      <c r="AL68" s="1367">
        <f t="shared" ref="AL68:AL81" si="18">AK68*$E68</f>
        <v>0</v>
      </c>
      <c r="AM68" s="1371"/>
      <c r="AN68" s="336"/>
      <c r="AO68" s="335">
        <f t="shared" ref="AO68:AO81" si="19">(AM$62*AM$63*AM$64*$AM68)+(AM$62*AM$63*AM$65*$AN68)</f>
        <v>0</v>
      </c>
      <c r="AP68" s="1367">
        <f t="shared" ref="AP68:AP81" si="20">AO68*$E68</f>
        <v>0</v>
      </c>
      <c r="AQ68" s="1371"/>
      <c r="AR68" s="336"/>
      <c r="AS68" s="335">
        <f t="shared" ref="AS68:AS81" si="21">(AQ$62*AQ$63*AQ$64*$AQ68)+(AQ$62*AQ$63*AQ$65*$AR68)</f>
        <v>0</v>
      </c>
      <c r="AT68" s="1367">
        <f t="shared" ref="AT68:AT81" si="22">AS68*$E68</f>
        <v>0</v>
      </c>
      <c r="AU68" s="1368">
        <f t="shared" ref="AU68:AU81" si="23">SUM(Y68,AC68,AG68,AK68,AO68,AS68)</f>
        <v>0</v>
      </c>
      <c r="AV68" s="1372">
        <f t="shared" ref="AV68:AV81" si="24">SUM(Z68,AD68,AH68,AL68,AP68,AT68)</f>
        <v>0</v>
      </c>
    </row>
    <row r="69" spans="2:48" s="247" customFormat="1" ht="15" x14ac:dyDescent="0.25">
      <c r="B69" s="1348" t="s">
        <v>115</v>
      </c>
      <c r="C69" s="1669"/>
      <c r="D69" s="1670"/>
      <c r="E69" s="227"/>
      <c r="F69" s="227"/>
      <c r="G69" s="1349" t="s">
        <v>53</v>
      </c>
      <c r="H69" s="842">
        <v>600</v>
      </c>
      <c r="I69" s="1350" t="s">
        <v>53</v>
      </c>
      <c r="J69" s="1351">
        <v>130</v>
      </c>
      <c r="K69" s="1352"/>
      <c r="L69" s="443">
        <f t="shared" si="6"/>
        <v>0</v>
      </c>
      <c r="M69" s="439">
        <f t="shared" si="7"/>
        <v>0</v>
      </c>
      <c r="N69" s="1353"/>
      <c r="O69" s="1353"/>
      <c r="P69" s="1353"/>
      <c r="Q69" s="1353"/>
      <c r="R69" s="1353"/>
      <c r="S69" s="1353"/>
      <c r="T69" s="1353"/>
      <c r="U69" s="1353"/>
      <c r="V69" s="1365" t="str">
        <f t="shared" si="8"/>
        <v>Service (e.g. financial, auto)</v>
      </c>
      <c r="W69" s="1355">
        <f t="shared" si="9"/>
        <v>0</v>
      </c>
      <c r="X69" s="1356">
        <f t="shared" si="10"/>
        <v>0</v>
      </c>
      <c r="Y69" s="1366">
        <f t="shared" si="11"/>
        <v>0</v>
      </c>
      <c r="Z69" s="1367">
        <f t="shared" si="12"/>
        <v>0</v>
      </c>
      <c r="AA69" s="1368">
        <f t="shared" si="0"/>
        <v>0</v>
      </c>
      <c r="AB69" s="335">
        <f t="shared" si="1"/>
        <v>0</v>
      </c>
      <c r="AC69" s="335">
        <f t="shared" si="13"/>
        <v>0</v>
      </c>
      <c r="AD69" s="1367">
        <f t="shared" si="14"/>
        <v>0</v>
      </c>
      <c r="AE69" s="1369">
        <f t="shared" si="2"/>
        <v>0</v>
      </c>
      <c r="AF69" s="1370">
        <f t="shared" si="3"/>
        <v>0</v>
      </c>
      <c r="AG69" s="335">
        <f t="shared" si="15"/>
        <v>0</v>
      </c>
      <c r="AH69" s="1367">
        <f t="shared" si="16"/>
        <v>0</v>
      </c>
      <c r="AI69" s="1368">
        <f t="shared" si="4"/>
        <v>0</v>
      </c>
      <c r="AJ69" s="335">
        <f t="shared" si="5"/>
        <v>0</v>
      </c>
      <c r="AK69" s="335">
        <f t="shared" si="17"/>
        <v>0</v>
      </c>
      <c r="AL69" s="1367">
        <f t="shared" si="18"/>
        <v>0</v>
      </c>
      <c r="AM69" s="1371"/>
      <c r="AN69" s="336"/>
      <c r="AO69" s="335">
        <f t="shared" si="19"/>
        <v>0</v>
      </c>
      <c r="AP69" s="1367">
        <f t="shared" si="20"/>
        <v>0</v>
      </c>
      <c r="AQ69" s="1371"/>
      <c r="AR69" s="336"/>
      <c r="AS69" s="335">
        <f t="shared" si="21"/>
        <v>0</v>
      </c>
      <c r="AT69" s="1367">
        <f t="shared" si="22"/>
        <v>0</v>
      </c>
      <c r="AU69" s="1368">
        <f t="shared" si="23"/>
        <v>0</v>
      </c>
      <c r="AV69" s="1372">
        <f t="shared" si="24"/>
        <v>0</v>
      </c>
    </row>
    <row r="70" spans="2:48" s="247" customFormat="1" ht="15" x14ac:dyDescent="0.25">
      <c r="B70" s="1348" t="s">
        <v>54</v>
      </c>
      <c r="C70" s="1669"/>
      <c r="D70" s="1670"/>
      <c r="E70" s="227"/>
      <c r="F70" s="227"/>
      <c r="G70" s="1349" t="s">
        <v>53</v>
      </c>
      <c r="H70" s="842">
        <v>435</v>
      </c>
      <c r="I70" s="1350" t="s">
        <v>53</v>
      </c>
      <c r="J70" s="1351">
        <v>95</v>
      </c>
      <c r="K70" s="1352"/>
      <c r="L70" s="443">
        <f t="shared" si="6"/>
        <v>0</v>
      </c>
      <c r="M70" s="439">
        <f>F70/J70</f>
        <v>0</v>
      </c>
      <c r="N70" s="1353"/>
      <c r="O70" s="1353"/>
      <c r="P70" s="1353"/>
      <c r="Q70" s="1353"/>
      <c r="R70" s="1353"/>
      <c r="S70" s="1353"/>
      <c r="T70" s="1353"/>
      <c r="U70" s="1353"/>
      <c r="V70" s="1365" t="str">
        <f t="shared" si="8"/>
        <v>Restaurant</v>
      </c>
      <c r="W70" s="1355">
        <f t="shared" si="9"/>
        <v>0</v>
      </c>
      <c r="X70" s="1356">
        <f>0.005*M70</f>
        <v>0</v>
      </c>
      <c r="Y70" s="1366">
        <f>(W$62*W$63*W$64*$W70)+(W$62*W$63*W$65*$X70)</f>
        <v>0</v>
      </c>
      <c r="Z70" s="1367">
        <f t="shared" si="12"/>
        <v>0</v>
      </c>
      <c r="AA70" s="1368">
        <f t="shared" si="0"/>
        <v>0</v>
      </c>
      <c r="AB70" s="335">
        <f t="shared" si="1"/>
        <v>0</v>
      </c>
      <c r="AC70" s="335">
        <f t="shared" si="13"/>
        <v>0</v>
      </c>
      <c r="AD70" s="1367">
        <f t="shared" si="14"/>
        <v>0</v>
      </c>
      <c r="AE70" s="1369">
        <f t="shared" si="2"/>
        <v>0</v>
      </c>
      <c r="AF70" s="1370">
        <f t="shared" si="3"/>
        <v>0</v>
      </c>
      <c r="AG70" s="335">
        <f t="shared" si="15"/>
        <v>0</v>
      </c>
      <c r="AH70" s="1367">
        <f t="shared" si="16"/>
        <v>0</v>
      </c>
      <c r="AI70" s="1368">
        <f t="shared" si="4"/>
        <v>0</v>
      </c>
      <c r="AJ70" s="335">
        <f t="shared" si="5"/>
        <v>0</v>
      </c>
      <c r="AK70" s="335">
        <f t="shared" si="17"/>
        <v>0</v>
      </c>
      <c r="AL70" s="1367">
        <f t="shared" si="18"/>
        <v>0</v>
      </c>
      <c r="AM70" s="1371"/>
      <c r="AN70" s="336"/>
      <c r="AO70" s="335">
        <f t="shared" si="19"/>
        <v>0</v>
      </c>
      <c r="AP70" s="1367">
        <f t="shared" si="20"/>
        <v>0</v>
      </c>
      <c r="AQ70" s="1368">
        <f>L70</f>
        <v>0</v>
      </c>
      <c r="AR70" s="335">
        <f>M70</f>
        <v>0</v>
      </c>
      <c r="AS70" s="335">
        <f t="shared" si="21"/>
        <v>0</v>
      </c>
      <c r="AT70" s="1367">
        <f t="shared" si="22"/>
        <v>0</v>
      </c>
      <c r="AU70" s="1368">
        <f t="shared" si="23"/>
        <v>0</v>
      </c>
      <c r="AV70" s="1372">
        <f t="shared" si="24"/>
        <v>0</v>
      </c>
    </row>
    <row r="71" spans="2:48" s="247" customFormat="1" ht="15" x14ac:dyDescent="0.25">
      <c r="B71" s="1348" t="s">
        <v>107</v>
      </c>
      <c r="C71" s="1669"/>
      <c r="D71" s="1670"/>
      <c r="E71" s="227"/>
      <c r="F71" s="227"/>
      <c r="G71" s="1349" t="s">
        <v>53</v>
      </c>
      <c r="H71" s="842">
        <v>550</v>
      </c>
      <c r="I71" s="1350" t="s">
        <v>53</v>
      </c>
      <c r="J71" s="1351">
        <v>115</v>
      </c>
      <c r="K71" s="1352"/>
      <c r="L71" s="443">
        <f t="shared" si="6"/>
        <v>0</v>
      </c>
      <c r="M71" s="439">
        <f t="shared" si="7"/>
        <v>0</v>
      </c>
      <c r="N71" s="1353"/>
      <c r="O71" s="1353"/>
      <c r="P71" s="1353"/>
      <c r="Q71" s="1353"/>
      <c r="R71" s="1353"/>
      <c r="S71" s="1353"/>
      <c r="T71" s="1353"/>
      <c r="U71" s="1353"/>
      <c r="V71" s="1365" t="str">
        <f t="shared" si="8"/>
        <v>Grocery store</v>
      </c>
      <c r="W71" s="1355">
        <f t="shared" si="9"/>
        <v>0</v>
      </c>
      <c r="X71" s="1356">
        <f t="shared" si="10"/>
        <v>0</v>
      </c>
      <c r="Y71" s="1366">
        <f t="shared" si="11"/>
        <v>0</v>
      </c>
      <c r="Z71" s="1367">
        <f t="shared" si="12"/>
        <v>0</v>
      </c>
      <c r="AA71" s="1368">
        <f t="shared" si="0"/>
        <v>0</v>
      </c>
      <c r="AB71" s="335">
        <f t="shared" si="1"/>
        <v>0</v>
      </c>
      <c r="AC71" s="335">
        <f t="shared" si="13"/>
        <v>0</v>
      </c>
      <c r="AD71" s="1367">
        <f t="shared" si="14"/>
        <v>0</v>
      </c>
      <c r="AE71" s="1369">
        <f t="shared" si="2"/>
        <v>0</v>
      </c>
      <c r="AF71" s="1370">
        <f t="shared" si="3"/>
        <v>0</v>
      </c>
      <c r="AG71" s="335">
        <f t="shared" si="15"/>
        <v>0</v>
      </c>
      <c r="AH71" s="1367">
        <f t="shared" si="16"/>
        <v>0</v>
      </c>
      <c r="AI71" s="1368">
        <f t="shared" si="4"/>
        <v>0</v>
      </c>
      <c r="AJ71" s="335">
        <f t="shared" si="5"/>
        <v>0</v>
      </c>
      <c r="AK71" s="335">
        <f t="shared" si="17"/>
        <v>0</v>
      </c>
      <c r="AL71" s="1367">
        <f t="shared" si="18"/>
        <v>0</v>
      </c>
      <c r="AM71" s="1368">
        <f t="shared" ref="AM71:AN73" si="25">L71</f>
        <v>0</v>
      </c>
      <c r="AN71" s="335">
        <f t="shared" si="25"/>
        <v>0</v>
      </c>
      <c r="AO71" s="335">
        <f t="shared" si="19"/>
        <v>0</v>
      </c>
      <c r="AP71" s="1367">
        <f t="shared" si="20"/>
        <v>0</v>
      </c>
      <c r="AQ71" s="1371"/>
      <c r="AR71" s="336"/>
      <c r="AS71" s="335">
        <f t="shared" si="21"/>
        <v>0</v>
      </c>
      <c r="AT71" s="1367">
        <f t="shared" si="22"/>
        <v>0</v>
      </c>
      <c r="AU71" s="1368">
        <f t="shared" si="23"/>
        <v>0</v>
      </c>
      <c r="AV71" s="1372">
        <f t="shared" si="24"/>
        <v>0</v>
      </c>
    </row>
    <row r="72" spans="2:48" s="247" customFormat="1" ht="15" x14ac:dyDescent="0.25">
      <c r="B72" s="1348" t="s">
        <v>108</v>
      </c>
      <c r="C72" s="1669"/>
      <c r="D72" s="1670"/>
      <c r="E72" s="227"/>
      <c r="F72" s="227"/>
      <c r="G72" s="1349" t="s">
        <v>53</v>
      </c>
      <c r="H72" s="842">
        <v>225</v>
      </c>
      <c r="I72" s="1350" t="s">
        <v>53</v>
      </c>
      <c r="J72" s="1351">
        <v>330</v>
      </c>
      <c r="K72" s="1352"/>
      <c r="L72" s="443">
        <f>F72/H72</f>
        <v>0</v>
      </c>
      <c r="M72" s="439">
        <f t="shared" si="7"/>
        <v>0</v>
      </c>
      <c r="N72" s="1353"/>
      <c r="O72" s="1353"/>
      <c r="P72" s="1353"/>
      <c r="Q72" s="1353"/>
      <c r="R72" s="1353"/>
      <c r="S72" s="1353"/>
      <c r="T72" s="1353"/>
      <c r="U72" s="1353"/>
      <c r="V72" s="1365" t="str">
        <f t="shared" si="8"/>
        <v>Medical office</v>
      </c>
      <c r="W72" s="1355">
        <f t="shared" si="9"/>
        <v>0</v>
      </c>
      <c r="X72" s="1356">
        <f t="shared" si="10"/>
        <v>0</v>
      </c>
      <c r="Y72" s="1366">
        <f t="shared" si="11"/>
        <v>0</v>
      </c>
      <c r="Z72" s="1367">
        <f t="shared" si="12"/>
        <v>0</v>
      </c>
      <c r="AA72" s="1368">
        <f t="shared" si="0"/>
        <v>0</v>
      </c>
      <c r="AB72" s="335">
        <f t="shared" si="1"/>
        <v>0</v>
      </c>
      <c r="AC72" s="335">
        <f t="shared" si="13"/>
        <v>0</v>
      </c>
      <c r="AD72" s="1367">
        <f t="shared" si="14"/>
        <v>0</v>
      </c>
      <c r="AE72" s="1369">
        <f t="shared" si="2"/>
        <v>0</v>
      </c>
      <c r="AF72" s="1370">
        <f t="shared" si="3"/>
        <v>0</v>
      </c>
      <c r="AG72" s="335">
        <f t="shared" si="15"/>
        <v>0</v>
      </c>
      <c r="AH72" s="1367">
        <f t="shared" si="16"/>
        <v>0</v>
      </c>
      <c r="AI72" s="1368">
        <f t="shared" si="4"/>
        <v>0</v>
      </c>
      <c r="AJ72" s="335">
        <f t="shared" si="5"/>
        <v>0</v>
      </c>
      <c r="AK72" s="335">
        <f t="shared" si="17"/>
        <v>0</v>
      </c>
      <c r="AL72" s="1367">
        <f t="shared" si="18"/>
        <v>0</v>
      </c>
      <c r="AM72" s="1368">
        <f t="shared" si="25"/>
        <v>0</v>
      </c>
      <c r="AN72" s="335">
        <f t="shared" si="25"/>
        <v>0</v>
      </c>
      <c r="AO72" s="335">
        <f t="shared" si="19"/>
        <v>0</v>
      </c>
      <c r="AP72" s="1367">
        <f t="shared" si="20"/>
        <v>0</v>
      </c>
      <c r="AQ72" s="1371"/>
      <c r="AR72" s="336"/>
      <c r="AS72" s="335">
        <f t="shared" si="21"/>
        <v>0</v>
      </c>
      <c r="AT72" s="1367">
        <f t="shared" si="22"/>
        <v>0</v>
      </c>
      <c r="AU72" s="1368">
        <f t="shared" si="23"/>
        <v>0</v>
      </c>
      <c r="AV72" s="1372">
        <f t="shared" si="24"/>
        <v>0</v>
      </c>
    </row>
    <row r="73" spans="2:48" s="247" customFormat="1" ht="15" x14ac:dyDescent="0.25">
      <c r="B73" s="1348" t="s">
        <v>109</v>
      </c>
      <c r="C73" s="1669"/>
      <c r="D73" s="1670"/>
      <c r="E73" s="227"/>
      <c r="F73" s="227"/>
      <c r="G73" s="1349" t="s">
        <v>53</v>
      </c>
      <c r="H73" s="842">
        <v>400</v>
      </c>
      <c r="I73" s="1350" t="s">
        <v>53</v>
      </c>
      <c r="J73" s="1351">
        <v>0</v>
      </c>
      <c r="K73" s="1352"/>
      <c r="L73" s="443">
        <f t="shared" si="6"/>
        <v>0</v>
      </c>
      <c r="M73" s="439">
        <v>0</v>
      </c>
      <c r="N73" s="1353"/>
      <c r="O73" s="1353"/>
      <c r="P73" s="1353"/>
      <c r="Q73" s="1353"/>
      <c r="R73" s="1353"/>
      <c r="S73" s="1353"/>
      <c r="T73" s="1353"/>
      <c r="U73" s="1353"/>
      <c r="V73" s="1365" t="str">
        <f t="shared" si="8"/>
        <v>R&amp;D or laboratory</v>
      </c>
      <c r="W73" s="1355">
        <f t="shared" si="9"/>
        <v>0</v>
      </c>
      <c r="X73" s="1356">
        <f t="shared" si="10"/>
        <v>0</v>
      </c>
      <c r="Y73" s="1366">
        <f t="shared" si="11"/>
        <v>0</v>
      </c>
      <c r="Z73" s="1367">
        <f t="shared" si="12"/>
        <v>0</v>
      </c>
      <c r="AA73" s="1368">
        <f t="shared" si="0"/>
        <v>0</v>
      </c>
      <c r="AB73" s="335">
        <f t="shared" si="1"/>
        <v>0</v>
      </c>
      <c r="AC73" s="335">
        <f t="shared" si="13"/>
        <v>0</v>
      </c>
      <c r="AD73" s="1367">
        <f t="shared" si="14"/>
        <v>0</v>
      </c>
      <c r="AE73" s="1369">
        <f t="shared" si="2"/>
        <v>0</v>
      </c>
      <c r="AF73" s="1370">
        <f t="shared" si="3"/>
        <v>0</v>
      </c>
      <c r="AG73" s="335">
        <f t="shared" si="15"/>
        <v>0</v>
      </c>
      <c r="AH73" s="1367">
        <f t="shared" si="16"/>
        <v>0</v>
      </c>
      <c r="AI73" s="1368">
        <f t="shared" si="4"/>
        <v>0</v>
      </c>
      <c r="AJ73" s="335">
        <f t="shared" si="5"/>
        <v>0</v>
      </c>
      <c r="AK73" s="335">
        <f t="shared" si="17"/>
        <v>0</v>
      </c>
      <c r="AL73" s="1367">
        <f t="shared" si="18"/>
        <v>0</v>
      </c>
      <c r="AM73" s="1368">
        <f t="shared" si="25"/>
        <v>0</v>
      </c>
      <c r="AN73" s="335">
        <f t="shared" si="25"/>
        <v>0</v>
      </c>
      <c r="AO73" s="335">
        <f t="shared" si="19"/>
        <v>0</v>
      </c>
      <c r="AP73" s="1367">
        <f t="shared" si="20"/>
        <v>0</v>
      </c>
      <c r="AQ73" s="1371"/>
      <c r="AR73" s="336"/>
      <c r="AS73" s="335">
        <f t="shared" si="21"/>
        <v>0</v>
      </c>
      <c r="AT73" s="1367">
        <f t="shared" si="22"/>
        <v>0</v>
      </c>
      <c r="AU73" s="1368">
        <f t="shared" si="23"/>
        <v>0</v>
      </c>
      <c r="AV73" s="1372">
        <f t="shared" si="24"/>
        <v>0</v>
      </c>
    </row>
    <row r="74" spans="2:48" s="247" customFormat="1" ht="15" x14ac:dyDescent="0.25">
      <c r="B74" s="1348" t="s">
        <v>110</v>
      </c>
      <c r="C74" s="1669"/>
      <c r="D74" s="1670"/>
      <c r="E74" s="227"/>
      <c r="F74" s="227"/>
      <c r="G74" s="1349" t="s">
        <v>53</v>
      </c>
      <c r="H74" s="842">
        <v>2500</v>
      </c>
      <c r="I74" s="1350" t="s">
        <v>53</v>
      </c>
      <c r="J74" s="1351">
        <v>0</v>
      </c>
      <c r="K74" s="1352"/>
      <c r="L74" s="443">
        <f t="shared" si="6"/>
        <v>0</v>
      </c>
      <c r="M74" s="439">
        <v>0</v>
      </c>
      <c r="N74" s="1353"/>
      <c r="O74" s="1353"/>
      <c r="P74" s="1353"/>
      <c r="Q74" s="1353"/>
      <c r="R74" s="1353"/>
      <c r="S74" s="1353"/>
      <c r="T74" s="1353"/>
      <c r="U74" s="1353"/>
      <c r="V74" s="1365" t="str">
        <f t="shared" si="8"/>
        <v>Warehouse, distribution</v>
      </c>
      <c r="W74" s="1355">
        <f t="shared" si="9"/>
        <v>0</v>
      </c>
      <c r="X74" s="1356">
        <f t="shared" si="10"/>
        <v>0</v>
      </c>
      <c r="Y74" s="1366">
        <f t="shared" si="11"/>
        <v>0</v>
      </c>
      <c r="Z74" s="1367">
        <f t="shared" si="12"/>
        <v>0</v>
      </c>
      <c r="AA74" s="1368">
        <f t="shared" si="0"/>
        <v>0</v>
      </c>
      <c r="AB74" s="335">
        <f t="shared" si="1"/>
        <v>0</v>
      </c>
      <c r="AC74" s="335">
        <f t="shared" si="13"/>
        <v>0</v>
      </c>
      <c r="AD74" s="1367">
        <f t="shared" si="14"/>
        <v>0</v>
      </c>
      <c r="AE74" s="1369">
        <f t="shared" si="2"/>
        <v>0</v>
      </c>
      <c r="AF74" s="1370">
        <f t="shared" si="3"/>
        <v>0</v>
      </c>
      <c r="AG74" s="335">
        <f t="shared" si="15"/>
        <v>0</v>
      </c>
      <c r="AH74" s="1367">
        <f t="shared" si="16"/>
        <v>0</v>
      </c>
      <c r="AI74" s="1368">
        <f t="shared" si="4"/>
        <v>0</v>
      </c>
      <c r="AJ74" s="335">
        <f t="shared" si="5"/>
        <v>0</v>
      </c>
      <c r="AK74" s="335">
        <f t="shared" si="17"/>
        <v>0</v>
      </c>
      <c r="AL74" s="1367">
        <f t="shared" si="18"/>
        <v>0</v>
      </c>
      <c r="AM74" s="1371"/>
      <c r="AN74" s="336"/>
      <c r="AO74" s="335">
        <f t="shared" si="19"/>
        <v>0</v>
      </c>
      <c r="AP74" s="1367">
        <f t="shared" si="20"/>
        <v>0</v>
      </c>
      <c r="AQ74" s="1371"/>
      <c r="AR74" s="336"/>
      <c r="AS74" s="335">
        <f t="shared" si="21"/>
        <v>0</v>
      </c>
      <c r="AT74" s="1367">
        <f t="shared" si="22"/>
        <v>0</v>
      </c>
      <c r="AU74" s="1368">
        <f t="shared" si="23"/>
        <v>0</v>
      </c>
      <c r="AV74" s="1372">
        <f t="shared" si="24"/>
        <v>0</v>
      </c>
    </row>
    <row r="75" spans="2:48" s="247" customFormat="1" ht="15" x14ac:dyDescent="0.25">
      <c r="B75" s="1348" t="s">
        <v>111</v>
      </c>
      <c r="C75" s="1669"/>
      <c r="D75" s="1670"/>
      <c r="E75" s="227"/>
      <c r="F75" s="227"/>
      <c r="G75" s="1349" t="s">
        <v>53</v>
      </c>
      <c r="H75" s="842">
        <v>20000</v>
      </c>
      <c r="I75" s="1350" t="s">
        <v>53</v>
      </c>
      <c r="J75" s="1351">
        <v>0</v>
      </c>
      <c r="K75" s="1352"/>
      <c r="L75" s="443">
        <f t="shared" si="6"/>
        <v>0</v>
      </c>
      <c r="M75" s="439">
        <v>0</v>
      </c>
      <c r="N75" s="1353"/>
      <c r="O75" s="1353"/>
      <c r="P75" s="1353"/>
      <c r="Q75" s="1353"/>
      <c r="R75" s="1353"/>
      <c r="S75" s="1353"/>
      <c r="T75" s="1353"/>
      <c r="U75" s="1353"/>
      <c r="V75" s="1365" t="str">
        <f t="shared" si="8"/>
        <v>Warehouse, storage</v>
      </c>
      <c r="W75" s="1355">
        <f t="shared" si="9"/>
        <v>0</v>
      </c>
      <c r="X75" s="1356">
        <f t="shared" si="10"/>
        <v>0</v>
      </c>
      <c r="Y75" s="1366">
        <f t="shared" si="11"/>
        <v>0</v>
      </c>
      <c r="Z75" s="1367">
        <f t="shared" si="12"/>
        <v>0</v>
      </c>
      <c r="AA75" s="1368">
        <f t="shared" si="0"/>
        <v>0</v>
      </c>
      <c r="AB75" s="335">
        <f t="shared" si="1"/>
        <v>0</v>
      </c>
      <c r="AC75" s="335">
        <f t="shared" si="13"/>
        <v>0</v>
      </c>
      <c r="AD75" s="1367">
        <f t="shared" si="14"/>
        <v>0</v>
      </c>
      <c r="AE75" s="1369">
        <f t="shared" si="2"/>
        <v>0</v>
      </c>
      <c r="AF75" s="1370">
        <f t="shared" si="3"/>
        <v>0</v>
      </c>
      <c r="AG75" s="335">
        <f t="shared" si="15"/>
        <v>0</v>
      </c>
      <c r="AH75" s="1367">
        <f t="shared" si="16"/>
        <v>0</v>
      </c>
      <c r="AI75" s="1368">
        <f t="shared" si="4"/>
        <v>0</v>
      </c>
      <c r="AJ75" s="335">
        <f t="shared" si="5"/>
        <v>0</v>
      </c>
      <c r="AK75" s="335">
        <f t="shared" si="17"/>
        <v>0</v>
      </c>
      <c r="AL75" s="1367">
        <f t="shared" si="18"/>
        <v>0</v>
      </c>
      <c r="AM75" s="1371"/>
      <c r="AN75" s="336"/>
      <c r="AO75" s="335">
        <f t="shared" si="19"/>
        <v>0</v>
      </c>
      <c r="AP75" s="1367">
        <f t="shared" si="20"/>
        <v>0</v>
      </c>
      <c r="AQ75" s="1371"/>
      <c r="AR75" s="336"/>
      <c r="AS75" s="335">
        <f t="shared" si="21"/>
        <v>0</v>
      </c>
      <c r="AT75" s="1367">
        <f t="shared" si="22"/>
        <v>0</v>
      </c>
      <c r="AU75" s="1368">
        <f t="shared" si="23"/>
        <v>0</v>
      </c>
      <c r="AV75" s="1372">
        <f t="shared" si="24"/>
        <v>0</v>
      </c>
    </row>
    <row r="76" spans="2:48" s="247" customFormat="1" ht="15" x14ac:dyDescent="0.25">
      <c r="B76" s="1348" t="s">
        <v>112</v>
      </c>
      <c r="C76" s="1669"/>
      <c r="D76" s="1670"/>
      <c r="E76" s="227"/>
      <c r="F76" s="227"/>
      <c r="G76" s="1349" t="s">
        <v>53</v>
      </c>
      <c r="H76" s="842">
        <v>630</v>
      </c>
      <c r="I76" s="1350" t="s">
        <v>53</v>
      </c>
      <c r="J76" s="1351">
        <v>105</v>
      </c>
      <c r="K76" s="1352"/>
      <c r="L76" s="443">
        <f t="shared" si="6"/>
        <v>0</v>
      </c>
      <c r="M76" s="439">
        <f t="shared" si="7"/>
        <v>0</v>
      </c>
      <c r="N76" s="1353"/>
      <c r="O76" s="1353"/>
      <c r="P76" s="1353"/>
      <c r="Q76" s="1353"/>
      <c r="R76" s="1353"/>
      <c r="S76" s="1353"/>
      <c r="T76" s="1353"/>
      <c r="U76" s="1353"/>
      <c r="V76" s="1365" t="str">
        <f t="shared" si="8"/>
        <v>Educational, daycare</v>
      </c>
      <c r="W76" s="1355">
        <f t="shared" si="9"/>
        <v>0</v>
      </c>
      <c r="X76" s="1356">
        <f t="shared" si="10"/>
        <v>0</v>
      </c>
      <c r="Y76" s="1366">
        <f t="shared" si="11"/>
        <v>0</v>
      </c>
      <c r="Z76" s="1367">
        <f t="shared" si="12"/>
        <v>0</v>
      </c>
      <c r="AA76" s="1368">
        <f t="shared" si="0"/>
        <v>0</v>
      </c>
      <c r="AB76" s="335">
        <f t="shared" si="1"/>
        <v>0</v>
      </c>
      <c r="AC76" s="335">
        <f t="shared" si="13"/>
        <v>0</v>
      </c>
      <c r="AD76" s="1367">
        <f t="shared" si="14"/>
        <v>0</v>
      </c>
      <c r="AE76" s="1369">
        <f t="shared" si="2"/>
        <v>0</v>
      </c>
      <c r="AF76" s="1370">
        <f t="shared" si="3"/>
        <v>0</v>
      </c>
      <c r="AG76" s="335">
        <f t="shared" si="15"/>
        <v>0</v>
      </c>
      <c r="AH76" s="1367">
        <f t="shared" si="16"/>
        <v>0</v>
      </c>
      <c r="AI76" s="1368">
        <f t="shared" si="4"/>
        <v>0</v>
      </c>
      <c r="AJ76" s="335">
        <f t="shared" si="5"/>
        <v>0</v>
      </c>
      <c r="AK76" s="335">
        <f t="shared" si="17"/>
        <v>0</v>
      </c>
      <c r="AL76" s="1367">
        <f t="shared" si="18"/>
        <v>0</v>
      </c>
      <c r="AM76" s="1368">
        <f t="shared" ref="AM76:AN78" si="26">L76</f>
        <v>0</v>
      </c>
      <c r="AN76" s="335">
        <f t="shared" si="26"/>
        <v>0</v>
      </c>
      <c r="AO76" s="335">
        <f t="shared" si="19"/>
        <v>0</v>
      </c>
      <c r="AP76" s="1367">
        <f t="shared" si="20"/>
        <v>0</v>
      </c>
      <c r="AQ76" s="1371"/>
      <c r="AR76" s="336"/>
      <c r="AS76" s="335">
        <f t="shared" si="21"/>
        <v>0</v>
      </c>
      <c r="AT76" s="1367">
        <f t="shared" si="22"/>
        <v>0</v>
      </c>
      <c r="AU76" s="1368">
        <f t="shared" si="23"/>
        <v>0</v>
      </c>
      <c r="AV76" s="1372">
        <f t="shared" si="24"/>
        <v>0</v>
      </c>
    </row>
    <row r="77" spans="2:48" s="247" customFormat="1" ht="15" x14ac:dyDescent="0.25">
      <c r="B77" s="1348" t="s">
        <v>113</v>
      </c>
      <c r="C77" s="1669"/>
      <c r="D77" s="1670"/>
      <c r="E77" s="227"/>
      <c r="F77" s="227"/>
      <c r="G77" s="1349" t="s">
        <v>53</v>
      </c>
      <c r="H77" s="1373">
        <v>1300</v>
      </c>
      <c r="I77" s="1350" t="s">
        <v>53</v>
      </c>
      <c r="J77" s="1374">
        <v>140</v>
      </c>
      <c r="K77" s="1352"/>
      <c r="L77" s="443">
        <f t="shared" ref="L77" si="27">F77/H77</f>
        <v>0</v>
      </c>
      <c r="M77" s="439">
        <f t="shared" ref="M77:M78" si="28">F77/J77</f>
        <v>0</v>
      </c>
      <c r="N77" s="1353"/>
      <c r="O77" s="1353"/>
      <c r="P77" s="1353"/>
      <c r="Q77" s="1353"/>
      <c r="R77" s="1353"/>
      <c r="S77" s="1353"/>
      <c r="T77" s="1353"/>
      <c r="U77" s="1353"/>
      <c r="V77" s="1365" t="str">
        <f t="shared" si="8"/>
        <v>Educational, K-12</v>
      </c>
      <c r="W77" s="1355">
        <f t="shared" si="9"/>
        <v>0</v>
      </c>
      <c r="X77" s="1356">
        <f t="shared" si="10"/>
        <v>0</v>
      </c>
      <c r="Y77" s="1366">
        <f t="shared" si="11"/>
        <v>0</v>
      </c>
      <c r="Z77" s="1367">
        <f t="shared" si="12"/>
        <v>0</v>
      </c>
      <c r="AA77" s="1368">
        <f t="shared" si="0"/>
        <v>0</v>
      </c>
      <c r="AB77" s="335">
        <f t="shared" si="1"/>
        <v>0</v>
      </c>
      <c r="AC77" s="335">
        <f t="shared" si="13"/>
        <v>0</v>
      </c>
      <c r="AD77" s="1367">
        <f t="shared" si="14"/>
        <v>0</v>
      </c>
      <c r="AE77" s="1369">
        <f t="shared" si="2"/>
        <v>0</v>
      </c>
      <c r="AF77" s="1370">
        <f t="shared" si="3"/>
        <v>0</v>
      </c>
      <c r="AG77" s="335">
        <f t="shared" si="15"/>
        <v>0</v>
      </c>
      <c r="AH77" s="1367">
        <f t="shared" si="16"/>
        <v>0</v>
      </c>
      <c r="AI77" s="1368">
        <f t="shared" si="4"/>
        <v>0</v>
      </c>
      <c r="AJ77" s="335">
        <f t="shared" si="5"/>
        <v>0</v>
      </c>
      <c r="AK77" s="335">
        <f t="shared" si="17"/>
        <v>0</v>
      </c>
      <c r="AL77" s="1367">
        <f t="shared" si="18"/>
        <v>0</v>
      </c>
      <c r="AM77" s="1368">
        <f t="shared" si="26"/>
        <v>0</v>
      </c>
      <c r="AN77" s="335">
        <f t="shared" si="26"/>
        <v>0</v>
      </c>
      <c r="AO77" s="335">
        <f t="shared" si="19"/>
        <v>0</v>
      </c>
      <c r="AP77" s="1367">
        <f t="shared" si="20"/>
        <v>0</v>
      </c>
      <c r="AQ77" s="1371"/>
      <c r="AR77" s="336"/>
      <c r="AS77" s="335">
        <f t="shared" si="21"/>
        <v>0</v>
      </c>
      <c r="AT77" s="1367">
        <f t="shared" si="22"/>
        <v>0</v>
      </c>
      <c r="AU77" s="1368">
        <f t="shared" si="23"/>
        <v>0</v>
      </c>
      <c r="AV77" s="1372">
        <f t="shared" si="24"/>
        <v>0</v>
      </c>
    </row>
    <row r="78" spans="2:48" s="247" customFormat="1" ht="15" x14ac:dyDescent="0.25">
      <c r="B78" s="1348" t="s">
        <v>114</v>
      </c>
      <c r="C78" s="1669"/>
      <c r="D78" s="1670"/>
      <c r="E78" s="227"/>
      <c r="F78" s="227"/>
      <c r="G78" s="1349" t="s">
        <v>53</v>
      </c>
      <c r="H78" s="1373">
        <v>2100</v>
      </c>
      <c r="I78" s="1350" t="s">
        <v>53</v>
      </c>
      <c r="J78" s="1374">
        <v>150</v>
      </c>
      <c r="K78" s="1352"/>
      <c r="L78" s="443">
        <f>F78/H78</f>
        <v>0</v>
      </c>
      <c r="M78" s="439">
        <f t="shared" si="28"/>
        <v>0</v>
      </c>
      <c r="N78" s="1353"/>
      <c r="O78" s="1353"/>
      <c r="P78" s="1353"/>
      <c r="Q78" s="1353"/>
      <c r="R78" s="1353"/>
      <c r="S78" s="1353"/>
      <c r="T78" s="1353"/>
      <c r="U78" s="1353"/>
      <c r="V78" s="1365" t="str">
        <f t="shared" si="8"/>
        <v>Educational, postsecondary</v>
      </c>
      <c r="W78" s="1355">
        <f t="shared" si="9"/>
        <v>0</v>
      </c>
      <c r="X78" s="1356">
        <f t="shared" si="10"/>
        <v>0</v>
      </c>
      <c r="Y78" s="1366">
        <f t="shared" si="11"/>
        <v>0</v>
      </c>
      <c r="Z78" s="1367">
        <f t="shared" si="12"/>
        <v>0</v>
      </c>
      <c r="AA78" s="1368">
        <f t="shared" si="0"/>
        <v>0</v>
      </c>
      <c r="AB78" s="335">
        <f t="shared" si="1"/>
        <v>0</v>
      </c>
      <c r="AC78" s="335">
        <f t="shared" si="13"/>
        <v>0</v>
      </c>
      <c r="AD78" s="1367">
        <f t="shared" si="14"/>
        <v>0</v>
      </c>
      <c r="AE78" s="1369">
        <f t="shared" si="2"/>
        <v>0</v>
      </c>
      <c r="AF78" s="1370">
        <f t="shared" si="3"/>
        <v>0</v>
      </c>
      <c r="AG78" s="335">
        <f t="shared" si="15"/>
        <v>0</v>
      </c>
      <c r="AH78" s="1367">
        <f t="shared" si="16"/>
        <v>0</v>
      </c>
      <c r="AI78" s="1368">
        <f t="shared" si="4"/>
        <v>0</v>
      </c>
      <c r="AJ78" s="335">
        <f t="shared" si="5"/>
        <v>0</v>
      </c>
      <c r="AK78" s="335">
        <f t="shared" si="17"/>
        <v>0</v>
      </c>
      <c r="AL78" s="1367">
        <f t="shared" si="18"/>
        <v>0</v>
      </c>
      <c r="AM78" s="1368">
        <f t="shared" si="26"/>
        <v>0</v>
      </c>
      <c r="AN78" s="335">
        <f t="shared" si="26"/>
        <v>0</v>
      </c>
      <c r="AO78" s="335">
        <f t="shared" si="19"/>
        <v>0</v>
      </c>
      <c r="AP78" s="1367">
        <f t="shared" si="20"/>
        <v>0</v>
      </c>
      <c r="AQ78" s="1371"/>
      <c r="AR78" s="336"/>
      <c r="AS78" s="335">
        <f t="shared" si="21"/>
        <v>0</v>
      </c>
      <c r="AT78" s="1367">
        <f t="shared" si="22"/>
        <v>0</v>
      </c>
      <c r="AU78" s="1368">
        <f t="shared" si="23"/>
        <v>0</v>
      </c>
      <c r="AV78" s="1372">
        <f t="shared" si="24"/>
        <v>0</v>
      </c>
    </row>
    <row r="79" spans="2:48" s="247" customFormat="1" ht="15" x14ac:dyDescent="0.25">
      <c r="B79" s="231" t="s">
        <v>142</v>
      </c>
      <c r="C79" s="1669"/>
      <c r="D79" s="1670"/>
      <c r="E79" s="227"/>
      <c r="F79" s="227"/>
      <c r="G79" s="1349" t="s">
        <v>53</v>
      </c>
      <c r="H79" s="228"/>
      <c r="I79" s="1350" t="s">
        <v>53</v>
      </c>
      <c r="J79" s="229"/>
      <c r="K79" s="1352"/>
      <c r="L79" s="443">
        <f>IF(H79="",0,F79/H79)</f>
        <v>0</v>
      </c>
      <c r="M79" s="439">
        <f>IF(J79="",0,F79/J79)</f>
        <v>0</v>
      </c>
      <c r="N79" s="1353"/>
      <c r="O79" s="1353"/>
      <c r="P79" s="1353"/>
      <c r="Q79" s="1353"/>
      <c r="R79" s="1353"/>
      <c r="S79" s="1353"/>
      <c r="T79" s="1353"/>
      <c r="U79" s="1353"/>
      <c r="V79" s="1365" t="str">
        <f t="shared" si="8"/>
        <v>Other &lt;Please Specify&gt;</v>
      </c>
      <c r="W79" s="1355">
        <f t="shared" si="9"/>
        <v>0</v>
      </c>
      <c r="X79" s="1356">
        <f t="shared" si="10"/>
        <v>0</v>
      </c>
      <c r="Y79" s="1366">
        <f t="shared" si="11"/>
        <v>0</v>
      </c>
      <c r="Z79" s="1367">
        <f t="shared" si="12"/>
        <v>0</v>
      </c>
      <c r="AA79" s="1368">
        <f t="shared" si="0"/>
        <v>0</v>
      </c>
      <c r="AB79" s="335">
        <f t="shared" si="1"/>
        <v>0</v>
      </c>
      <c r="AC79" s="335">
        <f t="shared" si="13"/>
        <v>0</v>
      </c>
      <c r="AD79" s="1367">
        <f t="shared" si="14"/>
        <v>0</v>
      </c>
      <c r="AE79" s="1369">
        <f t="shared" si="2"/>
        <v>0</v>
      </c>
      <c r="AF79" s="1370">
        <f t="shared" si="3"/>
        <v>0</v>
      </c>
      <c r="AG79" s="335">
        <f t="shared" si="15"/>
        <v>0</v>
      </c>
      <c r="AH79" s="1367">
        <f t="shared" si="16"/>
        <v>0</v>
      </c>
      <c r="AI79" s="1368">
        <f t="shared" si="4"/>
        <v>0</v>
      </c>
      <c r="AJ79" s="335">
        <f t="shared" si="5"/>
        <v>0</v>
      </c>
      <c r="AK79" s="335">
        <f t="shared" si="17"/>
        <v>0</v>
      </c>
      <c r="AL79" s="1367">
        <f t="shared" si="18"/>
        <v>0</v>
      </c>
      <c r="AM79" s="1371"/>
      <c r="AN79" s="336"/>
      <c r="AO79" s="335">
        <f t="shared" si="19"/>
        <v>0</v>
      </c>
      <c r="AP79" s="1367">
        <f t="shared" si="20"/>
        <v>0</v>
      </c>
      <c r="AQ79" s="1371"/>
      <c r="AR79" s="336"/>
      <c r="AS79" s="335">
        <f t="shared" si="21"/>
        <v>0</v>
      </c>
      <c r="AT79" s="1367">
        <f t="shared" si="22"/>
        <v>0</v>
      </c>
      <c r="AU79" s="1368">
        <f t="shared" si="23"/>
        <v>0</v>
      </c>
      <c r="AV79" s="1372">
        <f t="shared" si="24"/>
        <v>0</v>
      </c>
    </row>
    <row r="80" spans="2:48" s="247" customFormat="1" ht="15" x14ac:dyDescent="0.25">
      <c r="B80" s="231" t="s">
        <v>142</v>
      </c>
      <c r="C80" s="1669"/>
      <c r="D80" s="1670"/>
      <c r="E80" s="227"/>
      <c r="F80" s="227"/>
      <c r="G80" s="1349" t="s">
        <v>53</v>
      </c>
      <c r="H80" s="228"/>
      <c r="I80" s="1350" t="s">
        <v>53</v>
      </c>
      <c r="J80" s="229"/>
      <c r="K80" s="1352"/>
      <c r="L80" s="443">
        <f t="shared" ref="L80:L81" si="29">IF(H80="",0,F80/H80)</f>
        <v>0</v>
      </c>
      <c r="M80" s="439">
        <f t="shared" ref="M80:M81" si="30">IF(J80="",0,F80/J80)</f>
        <v>0</v>
      </c>
      <c r="N80" s="1353"/>
      <c r="O80" s="1353"/>
      <c r="P80" s="1353"/>
      <c r="Q80" s="1353"/>
      <c r="R80" s="1353"/>
      <c r="S80" s="1353"/>
      <c r="T80" s="1353"/>
      <c r="U80" s="1353"/>
      <c r="V80" s="1365" t="str">
        <f t="shared" si="8"/>
        <v>Other &lt;Please Specify&gt;</v>
      </c>
      <c r="W80" s="1355">
        <f t="shared" si="9"/>
        <v>0</v>
      </c>
      <c r="X80" s="1356">
        <f t="shared" si="10"/>
        <v>0</v>
      </c>
      <c r="Y80" s="1366">
        <f t="shared" si="11"/>
        <v>0</v>
      </c>
      <c r="Z80" s="1367">
        <f t="shared" si="12"/>
        <v>0</v>
      </c>
      <c r="AA80" s="1368">
        <f t="shared" si="0"/>
        <v>0</v>
      </c>
      <c r="AB80" s="335">
        <f t="shared" si="1"/>
        <v>0</v>
      </c>
      <c r="AC80" s="335">
        <f t="shared" si="13"/>
        <v>0</v>
      </c>
      <c r="AD80" s="1367">
        <f t="shared" si="14"/>
        <v>0</v>
      </c>
      <c r="AE80" s="1369">
        <f t="shared" si="2"/>
        <v>0</v>
      </c>
      <c r="AF80" s="1370">
        <f t="shared" si="3"/>
        <v>0</v>
      </c>
      <c r="AG80" s="335">
        <f t="shared" si="15"/>
        <v>0</v>
      </c>
      <c r="AH80" s="1367">
        <f t="shared" si="16"/>
        <v>0</v>
      </c>
      <c r="AI80" s="1368">
        <f t="shared" si="4"/>
        <v>0</v>
      </c>
      <c r="AJ80" s="335">
        <f t="shared" si="5"/>
        <v>0</v>
      </c>
      <c r="AK80" s="335">
        <f t="shared" si="17"/>
        <v>0</v>
      </c>
      <c r="AL80" s="1367">
        <f t="shared" si="18"/>
        <v>0</v>
      </c>
      <c r="AM80" s="1371"/>
      <c r="AN80" s="336"/>
      <c r="AO80" s="335">
        <f t="shared" si="19"/>
        <v>0</v>
      </c>
      <c r="AP80" s="1367">
        <f t="shared" si="20"/>
        <v>0</v>
      </c>
      <c r="AQ80" s="1371"/>
      <c r="AR80" s="336"/>
      <c r="AS80" s="335">
        <f t="shared" si="21"/>
        <v>0</v>
      </c>
      <c r="AT80" s="1367">
        <f t="shared" si="22"/>
        <v>0</v>
      </c>
      <c r="AU80" s="1368">
        <f t="shared" si="23"/>
        <v>0</v>
      </c>
      <c r="AV80" s="1372">
        <f t="shared" si="24"/>
        <v>0</v>
      </c>
    </row>
    <row r="81" spans="2:48" s="247" customFormat="1" ht="15.75" thickBot="1" x14ac:dyDescent="0.3">
      <c r="B81" s="231" t="s">
        <v>142</v>
      </c>
      <c r="C81" s="1669"/>
      <c r="D81" s="1670"/>
      <c r="E81" s="227"/>
      <c r="F81" s="230"/>
      <c r="G81" s="1349" t="s">
        <v>53</v>
      </c>
      <c r="H81" s="228"/>
      <c r="I81" s="1350" t="s">
        <v>53</v>
      </c>
      <c r="J81" s="229"/>
      <c r="K81" s="1352"/>
      <c r="L81" s="1375">
        <f t="shared" si="29"/>
        <v>0</v>
      </c>
      <c r="M81" s="1376">
        <f t="shared" si="30"/>
        <v>0</v>
      </c>
      <c r="N81" s="1353"/>
      <c r="O81" s="1353"/>
      <c r="P81" s="1353"/>
      <c r="Q81" s="1353"/>
      <c r="R81" s="1353"/>
      <c r="S81" s="1353"/>
      <c r="T81" s="1353"/>
      <c r="U81" s="1353"/>
      <c r="V81" s="1377" t="str">
        <f t="shared" si="8"/>
        <v>Other &lt;Please Specify&gt;</v>
      </c>
      <c r="W81" s="1355">
        <f t="shared" si="9"/>
        <v>0</v>
      </c>
      <c r="X81" s="1356">
        <f t="shared" si="10"/>
        <v>0</v>
      </c>
      <c r="Y81" s="1378">
        <f t="shared" si="11"/>
        <v>0</v>
      </c>
      <c r="Z81" s="1379">
        <f t="shared" si="12"/>
        <v>0</v>
      </c>
      <c r="AA81" s="1380">
        <f t="shared" si="0"/>
        <v>0</v>
      </c>
      <c r="AB81" s="1381">
        <f t="shared" si="1"/>
        <v>0</v>
      </c>
      <c r="AC81" s="1381">
        <f t="shared" si="13"/>
        <v>0</v>
      </c>
      <c r="AD81" s="1379">
        <f t="shared" si="14"/>
        <v>0</v>
      </c>
      <c r="AE81" s="1382">
        <f t="shared" si="2"/>
        <v>0</v>
      </c>
      <c r="AF81" s="1383">
        <f t="shared" si="3"/>
        <v>0</v>
      </c>
      <c r="AG81" s="1381">
        <f t="shared" si="15"/>
        <v>0</v>
      </c>
      <c r="AH81" s="1379">
        <f t="shared" si="16"/>
        <v>0</v>
      </c>
      <c r="AI81" s="1380">
        <f t="shared" si="4"/>
        <v>0</v>
      </c>
      <c r="AJ81" s="1381">
        <f t="shared" si="5"/>
        <v>0</v>
      </c>
      <c r="AK81" s="1381">
        <f t="shared" si="17"/>
        <v>0</v>
      </c>
      <c r="AL81" s="1379">
        <f t="shared" si="18"/>
        <v>0</v>
      </c>
      <c r="AM81" s="1384"/>
      <c r="AN81" s="1385"/>
      <c r="AO81" s="1381">
        <f t="shared" si="19"/>
        <v>0</v>
      </c>
      <c r="AP81" s="1379">
        <f t="shared" si="20"/>
        <v>0</v>
      </c>
      <c r="AQ81" s="1384"/>
      <c r="AR81" s="1385"/>
      <c r="AS81" s="1381">
        <f t="shared" si="21"/>
        <v>0</v>
      </c>
      <c r="AT81" s="1379">
        <f t="shared" si="22"/>
        <v>0</v>
      </c>
      <c r="AU81" s="1380">
        <f t="shared" si="23"/>
        <v>0</v>
      </c>
      <c r="AV81" s="1386">
        <f t="shared" si="24"/>
        <v>0</v>
      </c>
    </row>
    <row r="82" spans="2:48" s="247" customFormat="1" ht="16.5" thickTop="1" thickBot="1" x14ac:dyDescent="0.3">
      <c r="B82" s="1661" t="s">
        <v>20</v>
      </c>
      <c r="C82" s="1662"/>
      <c r="D82" s="1662"/>
      <c r="E82" s="1387"/>
      <c r="F82" s="1388">
        <f>SUM(F67:F81)</f>
        <v>0</v>
      </c>
      <c r="G82" s="1389"/>
      <c r="H82" s="1390"/>
      <c r="I82" s="1390"/>
      <c r="J82" s="1391"/>
      <c r="K82" s="1387"/>
      <c r="L82" s="240">
        <f>SUM(L67:L81)</f>
        <v>0</v>
      </c>
      <c r="M82" s="1392">
        <f>SUM(M67:M81)</f>
        <v>0</v>
      </c>
      <c r="N82" s="1353"/>
      <c r="O82" s="1353"/>
      <c r="P82" s="1353"/>
      <c r="Q82" s="1353"/>
      <c r="R82" s="1353"/>
      <c r="S82" s="1353"/>
      <c r="T82" s="1353"/>
      <c r="U82" s="1353"/>
      <c r="V82" s="1393" t="str">
        <f t="shared" si="8"/>
        <v>TOTAL</v>
      </c>
      <c r="W82" s="1394">
        <f>SUM(W67:W81)</f>
        <v>0</v>
      </c>
      <c r="X82" s="1395">
        <f>SUM(X67:X81)</f>
        <v>0</v>
      </c>
      <c r="Y82" s="1395">
        <f>SUM(Y67:Y81)</f>
        <v>0</v>
      </c>
      <c r="Z82" s="1396">
        <f t="shared" ref="Z82" si="31">SUM(Z67:Z81)</f>
        <v>0</v>
      </c>
      <c r="AA82" s="1394">
        <f>SUM(AA67:AA81)</f>
        <v>0</v>
      </c>
      <c r="AB82" s="1395">
        <f t="shared" ref="AB82:AH82" si="32">SUM(AB67:AB81)</f>
        <v>0</v>
      </c>
      <c r="AC82" s="1395">
        <f t="shared" si="32"/>
        <v>0</v>
      </c>
      <c r="AD82" s="1396">
        <f t="shared" si="32"/>
        <v>0</v>
      </c>
      <c r="AE82" s="1394">
        <f t="shared" si="32"/>
        <v>0</v>
      </c>
      <c r="AF82" s="1395">
        <f t="shared" si="32"/>
        <v>0</v>
      </c>
      <c r="AG82" s="1395">
        <f t="shared" si="32"/>
        <v>0</v>
      </c>
      <c r="AH82" s="1396">
        <f t="shared" si="32"/>
        <v>0</v>
      </c>
      <c r="AI82" s="1394">
        <f t="shared" ref="AI82" si="33">SUM(AI67:AI81)</f>
        <v>0</v>
      </c>
      <c r="AJ82" s="1395">
        <f t="shared" ref="AJ82:AL82" si="34">SUM(AJ67:AJ81)</f>
        <v>0</v>
      </c>
      <c r="AK82" s="1395">
        <f t="shared" si="34"/>
        <v>0</v>
      </c>
      <c r="AL82" s="1396">
        <f t="shared" si="34"/>
        <v>0</v>
      </c>
      <c r="AM82" s="1394">
        <f t="shared" ref="AM82" si="35">SUM(AM67:AM81)</f>
        <v>0</v>
      </c>
      <c r="AN82" s="1395">
        <f t="shared" ref="AN82:AP82" si="36">SUM(AN67:AN81)</f>
        <v>0</v>
      </c>
      <c r="AO82" s="1395">
        <f t="shared" si="36"/>
        <v>0</v>
      </c>
      <c r="AP82" s="1396">
        <f t="shared" si="36"/>
        <v>0</v>
      </c>
      <c r="AQ82" s="1394">
        <f t="shared" ref="AQ82" si="37">SUM(AQ67:AQ81)</f>
        <v>0</v>
      </c>
      <c r="AR82" s="1395">
        <f t="shared" ref="AR82:AT82" si="38">SUM(AR67:AR81)</f>
        <v>0</v>
      </c>
      <c r="AS82" s="1395">
        <f t="shared" si="38"/>
        <v>0</v>
      </c>
      <c r="AT82" s="1396">
        <f t="shared" si="38"/>
        <v>0</v>
      </c>
      <c r="AU82" s="1394">
        <f t="shared" ref="AU82" si="39">SUM(AU67:AU81)</f>
        <v>0</v>
      </c>
      <c r="AV82" s="1396">
        <f t="shared" ref="AV82" si="40">SUM(AV67:AV81)</f>
        <v>0</v>
      </c>
    </row>
    <row r="83" spans="2:48" s="316" customFormat="1" ht="15.75" thickBot="1" x14ac:dyDescent="0.3">
      <c r="B83" s="1280"/>
      <c r="C83" s="1280"/>
      <c r="D83" s="1281"/>
      <c r="F83" s="1397" t="str">
        <f>IF((F82+C91)&lt;&gt;I35,"!!!Gross Area Square Footage Values (Comm. + Residential) does not sum to the Total Building Size in Cell I34; Please update I34 or cells above","")</f>
        <v/>
      </c>
      <c r="H83" s="1398"/>
      <c r="I83" s="1398"/>
      <c r="J83" s="1398"/>
      <c r="K83" s="1398"/>
      <c r="L83" s="1398"/>
      <c r="M83" s="1399"/>
      <c r="N83" s="1399"/>
      <c r="O83" s="1399"/>
      <c r="P83" s="1399"/>
      <c r="Q83" s="1399"/>
      <c r="R83" s="1399"/>
      <c r="S83" s="1399"/>
      <c r="T83" s="1399"/>
      <c r="U83" s="1399"/>
      <c r="V83" s="616"/>
    </row>
    <row r="84" spans="2:48" s="281" customFormat="1" ht="16.5" thickBot="1" x14ac:dyDescent="0.3">
      <c r="B84" s="1400" t="s">
        <v>402</v>
      </c>
      <c r="C84" s="1401"/>
      <c r="D84" s="1402"/>
      <c r="E84" s="1280"/>
      <c r="F84" s="1400" t="s">
        <v>403</v>
      </c>
      <c r="G84" s="1403"/>
      <c r="H84" s="1404"/>
      <c r="I84" s="1404"/>
      <c r="J84" s="1404"/>
      <c r="K84" s="1404"/>
      <c r="L84" s="1404"/>
      <c r="M84" s="1405"/>
      <c r="N84" s="1406"/>
      <c r="O84" s="1406"/>
      <c r="P84" s="1406"/>
      <c r="Q84" s="1406"/>
      <c r="R84" s="1406"/>
      <c r="S84" s="1406"/>
      <c r="T84" s="1406"/>
      <c r="U84" s="1406"/>
      <c r="V84" s="616"/>
      <c r="W84" s="316"/>
      <c r="X84" s="316"/>
      <c r="Y84" s="316"/>
      <c r="Z84" s="316"/>
      <c r="AA84" s="316"/>
      <c r="AB84" s="316"/>
      <c r="AC84" s="316"/>
      <c r="AD84" s="316"/>
      <c r="AE84" s="316"/>
      <c r="AF84" s="316"/>
      <c r="AG84" s="316"/>
      <c r="AH84" s="316"/>
      <c r="AI84" s="316"/>
      <c r="AJ84" s="316"/>
      <c r="AK84" s="316"/>
      <c r="AL84" s="316"/>
      <c r="AM84" s="316"/>
      <c r="AN84" s="316"/>
      <c r="AO84" s="316"/>
      <c r="AP84" s="316"/>
      <c r="AQ84" s="316"/>
      <c r="AR84" s="316"/>
      <c r="AS84" s="316"/>
      <c r="AT84" s="316"/>
    </row>
    <row r="85" spans="2:48" s="258" customFormat="1" ht="15" x14ac:dyDescent="0.25">
      <c r="B85" s="1276" t="s">
        <v>163</v>
      </c>
      <c r="C85" s="402"/>
      <c r="D85" s="616"/>
      <c r="E85" s="267"/>
      <c r="F85" s="843" t="s">
        <v>163</v>
      </c>
      <c r="G85" s="247"/>
      <c r="H85" s="244"/>
      <c r="I85" s="244"/>
      <c r="J85" s="244"/>
      <c r="K85" s="244"/>
      <c r="L85" s="244"/>
      <c r="M85" s="1407"/>
      <c r="N85" s="1407"/>
      <c r="O85" s="1407"/>
      <c r="P85" s="1407"/>
      <c r="Q85" s="1407"/>
      <c r="R85" s="1407"/>
      <c r="S85" s="1407"/>
      <c r="T85" s="1407"/>
      <c r="U85" s="1407"/>
      <c r="V85" s="616"/>
      <c r="W85" s="247"/>
      <c r="X85" s="247"/>
      <c r="Y85" s="247"/>
      <c r="Z85" s="247"/>
      <c r="AA85" s="247"/>
      <c r="AB85" s="247"/>
      <c r="AC85" s="247"/>
      <c r="AD85" s="247"/>
      <c r="AE85" s="247"/>
      <c r="AF85" s="247"/>
      <c r="AG85" s="247"/>
      <c r="AH85" s="247"/>
      <c r="AI85" s="247"/>
      <c r="AJ85" s="247"/>
      <c r="AK85" s="247"/>
      <c r="AL85" s="247"/>
      <c r="AM85" s="247"/>
      <c r="AN85" s="247"/>
      <c r="AO85" s="247"/>
      <c r="AP85" s="247"/>
      <c r="AQ85" s="247"/>
      <c r="AR85" s="247"/>
      <c r="AS85" s="247"/>
      <c r="AT85" s="247"/>
    </row>
    <row r="86" spans="2:48" s="258" customFormat="1" ht="35.25" customHeight="1" x14ac:dyDescent="0.25">
      <c r="B86" s="1671" t="s">
        <v>161</v>
      </c>
      <c r="C86" s="1671"/>
      <c r="D86" s="1671"/>
      <c r="E86" s="267"/>
      <c r="F86" s="1408" t="s">
        <v>228</v>
      </c>
      <c r="G86" s="247"/>
      <c r="H86" s="244"/>
      <c r="I86" s="244"/>
      <c r="J86" s="244"/>
      <c r="K86" s="244"/>
      <c r="L86" s="244"/>
      <c r="M86" s="1407"/>
      <c r="N86" s="1407"/>
      <c r="O86" s="1407"/>
      <c r="P86" s="1407"/>
      <c r="Q86" s="1407"/>
      <c r="R86" s="1407"/>
      <c r="S86" s="1407"/>
      <c r="T86" s="1407"/>
      <c r="U86" s="1407"/>
      <c r="V86" s="616"/>
      <c r="W86" s="247"/>
      <c r="X86" s="247"/>
      <c r="Y86" s="247"/>
      <c r="Z86" s="247"/>
      <c r="AA86" s="247"/>
      <c r="AB86" s="247"/>
      <c r="AC86" s="247"/>
      <c r="AD86" s="247"/>
      <c r="AE86" s="247"/>
      <c r="AF86" s="247"/>
      <c r="AG86" s="247"/>
      <c r="AH86" s="247"/>
      <c r="AI86" s="247"/>
      <c r="AJ86" s="247"/>
      <c r="AK86" s="247"/>
      <c r="AL86" s="247"/>
      <c r="AM86" s="247"/>
      <c r="AN86" s="247"/>
      <c r="AO86" s="247"/>
      <c r="AP86" s="247"/>
      <c r="AQ86" s="247"/>
      <c r="AR86" s="247"/>
      <c r="AS86" s="247"/>
      <c r="AT86" s="247"/>
    </row>
    <row r="87" spans="2:48" s="258" customFormat="1" ht="15.75" thickBot="1" x14ac:dyDescent="0.3">
      <c r="B87" s="843"/>
      <c r="C87" s="843"/>
      <c r="D87" s="840"/>
      <c r="E87" s="403"/>
      <c r="F87" s="259"/>
      <c r="H87" s="259"/>
      <c r="I87" s="259"/>
      <c r="J87" s="259"/>
      <c r="K87" s="259"/>
      <c r="L87" s="259"/>
    </row>
    <row r="88" spans="2:48" s="258" customFormat="1" ht="30.75" thickBot="1" x14ac:dyDescent="0.3">
      <c r="B88" s="1409" t="s">
        <v>43</v>
      </c>
      <c r="C88" s="754" t="s">
        <v>44</v>
      </c>
      <c r="D88" s="884" t="s">
        <v>45</v>
      </c>
      <c r="F88" s="1410" t="s">
        <v>180</v>
      </c>
      <c r="G88" s="1411"/>
      <c r="H88" s="1411"/>
      <c r="I88" s="1412"/>
      <c r="J88" s="1413" t="s">
        <v>147</v>
      </c>
      <c r="K88" s="244"/>
      <c r="L88" s="259"/>
    </row>
    <row r="89" spans="2:48" s="258" customFormat="1" ht="61.5" customHeight="1" x14ac:dyDescent="0.25">
      <c r="B89" s="1409" t="s">
        <v>46</v>
      </c>
      <c r="C89" s="1414">
        <v>2.5</v>
      </c>
      <c r="D89" s="884" t="s">
        <v>894</v>
      </c>
      <c r="F89" s="1415" t="s">
        <v>143</v>
      </c>
      <c r="G89" s="1416"/>
      <c r="H89" s="1416"/>
      <c r="I89" s="1417"/>
      <c r="J89" s="563">
        <v>0</v>
      </c>
      <c r="K89" s="1283" t="s">
        <v>350</v>
      </c>
      <c r="L89" s="259"/>
    </row>
    <row r="90" spans="2:48" s="258" customFormat="1" ht="30.75" thickBot="1" x14ac:dyDescent="0.3">
      <c r="B90" s="1409" t="s">
        <v>47</v>
      </c>
      <c r="C90" s="232"/>
      <c r="D90" s="1418" t="s">
        <v>349</v>
      </c>
      <c r="F90" s="845" t="s">
        <v>142</v>
      </c>
      <c r="G90" s="846"/>
      <c r="H90" s="846"/>
      <c r="I90" s="847"/>
      <c r="J90" s="852">
        <v>0</v>
      </c>
      <c r="K90" s="1283" t="s">
        <v>357</v>
      </c>
      <c r="L90" s="259"/>
    </row>
    <row r="91" spans="2:48" s="258" customFormat="1" ht="15" customHeight="1" thickTop="1" thickBot="1" x14ac:dyDescent="0.3">
      <c r="B91" s="1409" t="s">
        <v>408</v>
      </c>
      <c r="C91" s="232"/>
      <c r="D91" s="884"/>
      <c r="F91" s="1419" t="s">
        <v>19</v>
      </c>
      <c r="G91" s="1420"/>
      <c r="H91" s="1420"/>
      <c r="I91" s="1421"/>
      <c r="J91" s="1392">
        <f>SUM(J89:J90)</f>
        <v>0</v>
      </c>
      <c r="K91" s="244"/>
      <c r="L91" s="259"/>
    </row>
    <row r="92" spans="2:48" s="258" customFormat="1" ht="60.75" thickBot="1" x14ac:dyDescent="0.3">
      <c r="B92" s="1409" t="s">
        <v>48</v>
      </c>
      <c r="C92" s="1422">
        <f>C89*C90</f>
        <v>0</v>
      </c>
      <c r="D92" s="884" t="s">
        <v>121</v>
      </c>
      <c r="F92" s="594"/>
      <c r="G92" s="840"/>
      <c r="H92" s="840"/>
      <c r="I92" s="840"/>
      <c r="J92" s="259"/>
      <c r="K92" s="244"/>
      <c r="L92" s="259"/>
    </row>
    <row r="93" spans="2:48" s="258" customFormat="1" ht="15" customHeight="1" thickBot="1" x14ac:dyDescent="0.3">
      <c r="B93" s="1409" t="s">
        <v>413</v>
      </c>
      <c r="C93" s="1423">
        <v>365</v>
      </c>
      <c r="F93" s="1410" t="s">
        <v>181</v>
      </c>
      <c r="G93" s="1411"/>
      <c r="H93" s="1411"/>
      <c r="I93" s="1412"/>
      <c r="J93" s="1413" t="s">
        <v>147</v>
      </c>
      <c r="K93" s="244"/>
      <c r="L93" s="259"/>
    </row>
    <row r="94" spans="2:48" s="258" customFormat="1" ht="15" x14ac:dyDescent="0.25">
      <c r="F94" s="1415" t="s">
        <v>144</v>
      </c>
      <c r="G94" s="1416"/>
      <c r="H94" s="1416"/>
      <c r="I94" s="1417"/>
      <c r="J94" s="563"/>
      <c r="K94" s="1283" t="s">
        <v>350</v>
      </c>
      <c r="L94" s="259"/>
    </row>
    <row r="95" spans="2:48" s="258" customFormat="1" ht="15" x14ac:dyDescent="0.25">
      <c r="B95" s="403"/>
      <c r="C95" s="403"/>
      <c r="D95" s="259"/>
      <c r="E95" s="1424"/>
      <c r="F95" s="848" t="s">
        <v>142</v>
      </c>
      <c r="G95" s="849"/>
      <c r="H95" s="849"/>
      <c r="I95" s="850"/>
      <c r="J95" s="563">
        <v>0</v>
      </c>
      <c r="K95" s="1283" t="s">
        <v>358</v>
      </c>
      <c r="L95" s="259"/>
    </row>
    <row r="96" spans="2:48" s="372" customFormat="1" ht="19.5" thickBot="1" x14ac:dyDescent="0.35">
      <c r="B96" s="1425"/>
      <c r="C96" s="1425"/>
      <c r="D96" s="1426"/>
      <c r="E96" s="1425"/>
      <c r="F96" s="845" t="s">
        <v>142</v>
      </c>
      <c r="G96" s="846"/>
      <c r="H96" s="846"/>
      <c r="I96" s="847"/>
      <c r="J96" s="852">
        <v>0</v>
      </c>
      <c r="K96" s="1283" t="s">
        <v>358</v>
      </c>
      <c r="L96" s="1427"/>
    </row>
    <row r="97" spans="2:12" s="258" customFormat="1" ht="16.5" thickTop="1" thickBot="1" x14ac:dyDescent="0.3">
      <c r="E97" s="1424"/>
      <c r="F97" s="1419" t="s">
        <v>19</v>
      </c>
      <c r="G97" s="1420"/>
      <c r="H97" s="1420"/>
      <c r="I97" s="1421"/>
      <c r="J97" s="1392">
        <f>SUM(J94:J96)</f>
        <v>0</v>
      </c>
      <c r="K97" s="244"/>
      <c r="L97" s="259"/>
    </row>
    <row r="98" spans="2:12" s="258" customFormat="1" ht="15.75" thickBot="1" x14ac:dyDescent="0.3">
      <c r="E98" s="1424"/>
      <c r="F98" s="267"/>
      <c r="J98" s="259"/>
      <c r="K98" s="244"/>
      <c r="L98" s="259"/>
    </row>
    <row r="99" spans="2:12" s="258" customFormat="1" ht="18" thickBot="1" x14ac:dyDescent="0.3">
      <c r="E99" s="1424"/>
      <c r="F99" s="1410" t="s">
        <v>179</v>
      </c>
      <c r="G99" s="1411"/>
      <c r="H99" s="1411"/>
      <c r="I99" s="1412"/>
      <c r="J99" s="1413" t="s">
        <v>147</v>
      </c>
      <c r="K99" s="466"/>
      <c r="L99" s="259"/>
    </row>
    <row r="100" spans="2:12" s="247" customFormat="1" ht="15" x14ac:dyDescent="0.25">
      <c r="E100" s="1428"/>
      <c r="F100" s="1415" t="s">
        <v>185</v>
      </c>
      <c r="G100" s="1416"/>
      <c r="H100" s="1416"/>
      <c r="I100" s="1417"/>
      <c r="J100" s="851">
        <v>0</v>
      </c>
      <c r="K100" s="1283" t="s">
        <v>359</v>
      </c>
      <c r="L100" s="244"/>
    </row>
    <row r="101" spans="2:12" s="247" customFormat="1" ht="15" x14ac:dyDescent="0.25">
      <c r="E101" s="1428"/>
      <c r="F101" s="1429" t="s">
        <v>179</v>
      </c>
      <c r="G101" s="1430"/>
      <c r="H101" s="1430"/>
      <c r="I101" s="1431"/>
      <c r="J101" s="563">
        <v>0</v>
      </c>
      <c r="K101" s="1283" t="s">
        <v>360</v>
      </c>
      <c r="L101" s="244"/>
    </row>
    <row r="102" spans="2:12" s="247" customFormat="1" ht="15" x14ac:dyDescent="0.25">
      <c r="E102" s="1428"/>
      <c r="F102" s="1429" t="s">
        <v>182</v>
      </c>
      <c r="G102" s="1430"/>
      <c r="H102" s="1430"/>
      <c r="I102" s="1431"/>
      <c r="J102" s="563">
        <v>0</v>
      </c>
      <c r="K102" s="1283" t="s">
        <v>361</v>
      </c>
      <c r="L102" s="244"/>
    </row>
    <row r="103" spans="2:12" s="247" customFormat="1" ht="15.75" thickBot="1" x14ac:dyDescent="0.3">
      <c r="E103" s="1428"/>
      <c r="F103" s="845" t="s">
        <v>142</v>
      </c>
      <c r="G103" s="846"/>
      <c r="H103" s="846"/>
      <c r="I103" s="847"/>
      <c r="J103" s="852">
        <v>0</v>
      </c>
      <c r="K103" s="1283" t="s">
        <v>350</v>
      </c>
      <c r="L103" s="244"/>
    </row>
    <row r="104" spans="2:12" s="247" customFormat="1" ht="16.5" thickTop="1" thickBot="1" x14ac:dyDescent="0.3">
      <c r="E104" s="1428"/>
      <c r="F104" s="1432" t="s">
        <v>19</v>
      </c>
      <c r="G104" s="1433"/>
      <c r="H104" s="1433"/>
      <c r="I104" s="1433"/>
      <c r="J104" s="1392">
        <f>SUM(J100:J103)</f>
        <v>0</v>
      </c>
      <c r="K104" s="466"/>
      <c r="L104" s="244"/>
    </row>
    <row r="105" spans="2:12" s="247" customFormat="1" ht="15" x14ac:dyDescent="0.25">
      <c r="E105" s="1428"/>
      <c r="F105" s="244"/>
      <c r="H105" s="244"/>
      <c r="I105" s="244"/>
      <c r="J105" s="244"/>
      <c r="K105" s="244"/>
      <c r="L105" s="244"/>
    </row>
    <row r="106" spans="2:12" s="281" customFormat="1" x14ac:dyDescent="0.2">
      <c r="B106" s="1265"/>
      <c r="C106" s="1265"/>
      <c r="D106" s="1266"/>
      <c r="E106" s="1265"/>
      <c r="F106" s="390"/>
      <c r="H106" s="390"/>
      <c r="I106" s="390"/>
      <c r="J106" s="390"/>
      <c r="K106" s="390"/>
      <c r="L106" s="390"/>
    </row>
    <row r="107" spans="2:12" s="1435" customFormat="1" ht="18.75" x14ac:dyDescent="0.3">
      <c r="B107" s="1660" t="s">
        <v>162</v>
      </c>
      <c r="C107" s="1660"/>
      <c r="D107" s="1660"/>
      <c r="E107" s="1660"/>
      <c r="F107" s="1660"/>
      <c r="G107" s="1660"/>
      <c r="H107" s="1434"/>
      <c r="I107" s="1434"/>
      <c r="J107" s="1434"/>
      <c r="K107" s="1434"/>
      <c r="L107" s="1434"/>
    </row>
  </sheetData>
  <sheetProtection algorithmName="SHA-512" hashValue="/cuQVEW+5dM0bvYsDAeWQiYSN834Whz4LJ+7t8BRcx6xAX0EYDjSrAkmdwC88G4ohqMLFAqWprkuq63vOwxqbA==" saltValue="FkbR4OVnaNq26/E+/yO47Q==" spinCount="100000" sheet="1" objects="1" scenarios="1" selectLockedCells="1"/>
  <customSheetViews>
    <customSheetView guid="{27ECCA9D-8222-4026-A3C8-C768CAE028E0}" scale="60" showGridLines="0" fitToPage="1" hiddenRows="1" hiddenColumns="1" topLeftCell="A4">
      <selection activeCell="O82" sqref="O82"/>
      <rowBreaks count="2" manualBreakCount="2">
        <brk id="82" max="12" man="1"/>
        <brk id="105" max="12" man="1"/>
      </rowBreaks>
      <pageMargins left="0.25" right="0.25" top="0.75" bottom="0.75" header="0.3" footer="0.3"/>
      <pageSetup paperSize="17" scale="60" fitToHeight="0" orientation="portrait" r:id="rId1"/>
      <headerFooter>
        <oddFooter>&amp;LApril 2014&amp;C&amp;A&amp;RPage &amp;P of &amp;N</oddFooter>
      </headerFooter>
    </customSheetView>
    <customSheetView guid="{D635BEAF-4410-44C3-8109-399BEE34BBD8}" scale="60" showGridLines="0" fitToPage="1" hiddenRows="1" hiddenColumns="1">
      <selection activeCell="E35" sqref="E35:F35"/>
      <rowBreaks count="2" manualBreakCount="2">
        <brk id="82" max="12" man="1"/>
        <brk id="105" max="12" man="1"/>
      </rowBreaks>
      <pageMargins left="0.25" right="0.25" top="0.75" bottom="0.75" header="0.3" footer="0.3"/>
      <pageSetup paperSize="17" scale="60" fitToHeight="0" orientation="portrait" r:id="rId2"/>
      <headerFooter>
        <oddFooter>&amp;LApril 2014&amp;C&amp;A&amp;RPage &amp;P of &amp;N</oddFooter>
      </headerFooter>
    </customSheetView>
  </customSheetViews>
  <mergeCells count="61">
    <mergeCell ref="AM61:AP61"/>
    <mergeCell ref="AQ61:AT61"/>
    <mergeCell ref="W61:Z61"/>
    <mergeCell ref="AA61:AD61"/>
    <mergeCell ref="AE61:AH61"/>
    <mergeCell ref="AI61:AL61"/>
    <mergeCell ref="F62:M63"/>
    <mergeCell ref="L66:M66"/>
    <mergeCell ref="B60:M60"/>
    <mergeCell ref="C79:D79"/>
    <mergeCell ref="C80:D80"/>
    <mergeCell ref="C72:D72"/>
    <mergeCell ref="C73:D73"/>
    <mergeCell ref="C74:D74"/>
    <mergeCell ref="B62:D63"/>
    <mergeCell ref="E62:E63"/>
    <mergeCell ref="C49:L49"/>
    <mergeCell ref="C40:L40"/>
    <mergeCell ref="C44:L44"/>
    <mergeCell ref="C45:L45"/>
    <mergeCell ref="C46:L46"/>
    <mergeCell ref="C47:L47"/>
    <mergeCell ref="C48:L48"/>
    <mergeCell ref="G36:H36"/>
    <mergeCell ref="I36:J36"/>
    <mergeCell ref="C41:L41"/>
    <mergeCell ref="C42:L42"/>
    <mergeCell ref="C43:L43"/>
    <mergeCell ref="B39:L39"/>
    <mergeCell ref="B5:E7"/>
    <mergeCell ref="C20:D20"/>
    <mergeCell ref="B56:L57"/>
    <mergeCell ref="C16:D16"/>
    <mergeCell ref="C17:D17"/>
    <mergeCell ref="C18:D18"/>
    <mergeCell ref="C25:D25"/>
    <mergeCell ref="C26:D26"/>
    <mergeCell ref="C27:D27"/>
    <mergeCell ref="C14:D14"/>
    <mergeCell ref="G34:H34"/>
    <mergeCell ref="G35:H35"/>
    <mergeCell ref="I34:J34"/>
    <mergeCell ref="E34:F34"/>
    <mergeCell ref="E35:F35"/>
    <mergeCell ref="I35:J35"/>
    <mergeCell ref="B107:G107"/>
    <mergeCell ref="B82:D82"/>
    <mergeCell ref="C64:D64"/>
    <mergeCell ref="C65:D65"/>
    <mergeCell ref="C66:D66"/>
    <mergeCell ref="C67:D67"/>
    <mergeCell ref="C68:D68"/>
    <mergeCell ref="C69:D69"/>
    <mergeCell ref="C78:D78"/>
    <mergeCell ref="B86:D86"/>
    <mergeCell ref="C70:D70"/>
    <mergeCell ref="C71:D71"/>
    <mergeCell ref="C81:D81"/>
    <mergeCell ref="C75:D75"/>
    <mergeCell ref="C76:D76"/>
    <mergeCell ref="C77:D77"/>
  </mergeCells>
  <dataValidations disablePrompts="1" count="1">
    <dataValidation type="list" allowBlank="1" showInputMessage="1" showErrorMessage="1" sqref="K35">
      <formula1>$B$41:$B$49</formula1>
    </dataValidation>
  </dataValidations>
  <hyperlinks>
    <hyperlink ref="B35" location="'1. Building Information'!B78" display="Site 1:"/>
    <hyperlink ref="C27" r:id="rId3"/>
  </hyperlinks>
  <pageMargins left="0.25" right="0.25" top="0.75" bottom="0.75" header="0.3" footer="0.3"/>
  <pageSetup paperSize="17" scale="60" fitToHeight="0" orientation="portrait" r:id="rId4"/>
  <headerFooter>
    <oddFooter>&amp;LApril 2014&amp;C&amp;A&amp;RPage &amp;P of &amp;N</oddFooter>
  </headerFooter>
  <rowBreaks count="1" manualBreakCount="1">
    <brk id="82" max="12" man="1"/>
  </rowBreaks>
  <legacyDrawing r:id="rId5"/>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A1:BI173"/>
  <sheetViews>
    <sheetView zoomScale="70" zoomScaleNormal="70" zoomScaleSheetLayoutView="40" workbookViewId="0">
      <selection activeCell="L27" activeCellId="7" sqref="C124 C120:C121 C116 C113:C114 C108:C109 F89:Q89 F50 L27"/>
    </sheetView>
  </sheetViews>
  <sheetFormatPr defaultRowHeight="12.75" x14ac:dyDescent="0.2"/>
  <cols>
    <col min="1" max="1" width="2.7109375" style="281" customWidth="1"/>
    <col min="2" max="2" width="46.85546875" style="281" customWidth="1"/>
    <col min="3" max="3" width="18.42578125" style="390" customWidth="1"/>
    <col min="4" max="4" width="20.85546875" style="390" customWidth="1"/>
    <col min="5" max="5" width="16.5703125" style="281" customWidth="1"/>
    <col min="6" max="6" width="14.7109375" style="281" customWidth="1"/>
    <col min="7" max="7" width="22.85546875" style="391" customWidth="1"/>
    <col min="8" max="8" width="14.7109375" style="391" customWidth="1"/>
    <col min="9" max="9" width="22.7109375" style="391" customWidth="1"/>
    <col min="10" max="10" width="14.7109375" style="390" customWidth="1"/>
    <col min="11" max="11" width="14.7109375" style="281" customWidth="1"/>
    <col min="12" max="12" width="17.42578125" style="281" customWidth="1"/>
    <col min="13" max="13" width="20.5703125" style="281" customWidth="1"/>
    <col min="14" max="15" width="14.7109375" style="281" customWidth="1"/>
    <col min="16" max="16" width="20" style="281" customWidth="1"/>
    <col min="17" max="17" width="19.7109375" style="390" customWidth="1"/>
    <col min="18" max="18" width="14.85546875" style="390" customWidth="1"/>
    <col min="19" max="19" width="15.7109375" style="281" customWidth="1"/>
    <col min="20" max="20" width="18" style="281" customWidth="1"/>
    <col min="21" max="22" width="15.7109375" style="281" customWidth="1"/>
    <col min="23" max="23" width="20.85546875" style="281" customWidth="1"/>
    <col min="24" max="24" width="21.7109375" style="281" customWidth="1"/>
    <col min="25" max="26" width="9.140625" style="281" customWidth="1"/>
    <col min="27" max="33" width="9.140625" style="281"/>
    <col min="34" max="37" width="9.140625" style="281" hidden="1" customWidth="1"/>
    <col min="38" max="16384" width="9.140625" style="281"/>
  </cols>
  <sheetData>
    <row r="1" spans="1:36" s="890" customFormat="1" ht="26.25" x14ac:dyDescent="0.4">
      <c r="A1" s="935" t="s">
        <v>37</v>
      </c>
      <c r="B1" s="889"/>
      <c r="C1" s="889"/>
      <c r="D1" s="889"/>
      <c r="G1" s="907"/>
      <c r="H1" s="907"/>
      <c r="I1" s="907"/>
      <c r="J1" s="889"/>
      <c r="Q1" s="889"/>
      <c r="R1" s="889"/>
    </row>
    <row r="2" spans="1:36" s="909" customFormat="1" ht="23.25" x14ac:dyDescent="0.35">
      <c r="A2" s="898" t="s">
        <v>267</v>
      </c>
      <c r="B2" s="908"/>
      <c r="C2" s="908"/>
      <c r="D2" s="908"/>
      <c r="G2" s="910"/>
      <c r="H2" s="910"/>
      <c r="I2" s="910"/>
      <c r="J2" s="908"/>
      <c r="Q2" s="908"/>
      <c r="R2" s="908"/>
    </row>
    <row r="3" spans="1:36" x14ac:dyDescent="0.2">
      <c r="B3" s="390"/>
    </row>
    <row r="4" spans="1:36" s="258" customFormat="1" ht="15" x14ac:dyDescent="0.25">
      <c r="B4" s="911" t="s">
        <v>39</v>
      </c>
      <c r="C4" s="259"/>
      <c r="D4" s="259"/>
      <c r="F4" s="260"/>
      <c r="G4" s="261" t="s">
        <v>38</v>
      </c>
      <c r="H4" s="248"/>
      <c r="I4" s="248"/>
      <c r="J4" s="259"/>
      <c r="Q4" s="259"/>
      <c r="R4" s="259"/>
    </row>
    <row r="5" spans="1:36" s="258" customFormat="1" ht="15" x14ac:dyDescent="0.25">
      <c r="B5" s="912" t="str">
        <f>'1. Building Information'!$C$14</f>
        <v>Project Name</v>
      </c>
      <c r="C5" s="259"/>
      <c r="D5" s="259"/>
      <c r="F5" s="247"/>
      <c r="G5" s="262" t="s">
        <v>160</v>
      </c>
      <c r="H5" s="838"/>
      <c r="I5" s="839"/>
      <c r="J5" s="259"/>
      <c r="Q5" s="259"/>
      <c r="R5" s="259"/>
      <c r="AI5" s="1436" t="s">
        <v>404</v>
      </c>
      <c r="AJ5" s="1437"/>
    </row>
    <row r="6" spans="1:36" s="258" customFormat="1" ht="15" x14ac:dyDescent="0.25">
      <c r="B6" s="840"/>
      <c r="C6" s="259"/>
      <c r="D6" s="259"/>
      <c r="F6" s="247"/>
      <c r="G6" s="262" t="s">
        <v>89</v>
      </c>
      <c r="H6" s="838"/>
      <c r="I6" s="841"/>
      <c r="J6" s="259"/>
      <c r="Q6" s="259"/>
      <c r="R6" s="259"/>
      <c r="AI6" s="271" t="s">
        <v>72</v>
      </c>
      <c r="AJ6" s="272"/>
    </row>
    <row r="7" spans="1:36" s="273" customFormat="1" ht="15" x14ac:dyDescent="0.25">
      <c r="B7" s="260" t="s">
        <v>56</v>
      </c>
      <c r="D7" s="244"/>
      <c r="E7" s="247"/>
      <c r="F7" s="247"/>
      <c r="G7" s="393" t="s">
        <v>86</v>
      </c>
      <c r="H7" s="394"/>
      <c r="I7" s="842"/>
      <c r="J7" s="244"/>
      <c r="K7" s="247"/>
      <c r="L7" s="247"/>
      <c r="M7" s="247"/>
      <c r="N7" s="247"/>
      <c r="O7" s="247"/>
      <c r="P7" s="247"/>
      <c r="Q7" s="275"/>
      <c r="R7" s="275"/>
      <c r="AI7" s="271" t="s">
        <v>73</v>
      </c>
      <c r="AJ7" s="272"/>
    </row>
    <row r="8" spans="1:36" s="258" customFormat="1" ht="15" customHeight="1" x14ac:dyDescent="0.25">
      <c r="B8" s="1736" t="s">
        <v>872</v>
      </c>
      <c r="C8" s="1736"/>
      <c r="D8" s="1736"/>
      <c r="E8" s="1736"/>
      <c r="F8" s="247"/>
      <c r="G8" s="393" t="s">
        <v>87</v>
      </c>
      <c r="H8" s="394"/>
      <c r="I8" s="438"/>
      <c r="J8" s="244"/>
      <c r="K8" s="247"/>
      <c r="L8" s="247"/>
      <c r="M8" s="247"/>
      <c r="N8" s="247"/>
      <c r="P8" s="259"/>
      <c r="Q8" s="259"/>
      <c r="R8" s="259"/>
    </row>
    <row r="9" spans="1:36" s="258" customFormat="1" ht="15" x14ac:dyDescent="0.25">
      <c r="B9" s="1736"/>
      <c r="C9" s="1736"/>
      <c r="D9" s="1736"/>
      <c r="E9" s="1736"/>
      <c r="K9" s="247"/>
      <c r="L9" s="247"/>
      <c r="M9" s="247"/>
      <c r="N9" s="247"/>
      <c r="Q9" s="259"/>
      <c r="R9" s="259"/>
    </row>
    <row r="10" spans="1:36" s="258" customFormat="1" ht="15" x14ac:dyDescent="0.25">
      <c r="B10" s="1736"/>
      <c r="C10" s="1736"/>
      <c r="D10" s="1736"/>
      <c r="E10" s="1736"/>
      <c r="K10" s="247"/>
      <c r="L10" s="247"/>
      <c r="M10" s="247"/>
      <c r="N10" s="247"/>
      <c r="Q10" s="259"/>
      <c r="R10" s="259"/>
    </row>
    <row r="11" spans="1:36" s="258" customFormat="1" ht="15" x14ac:dyDescent="0.25">
      <c r="B11" s="1736"/>
      <c r="C11" s="1736"/>
      <c r="D11" s="1736"/>
      <c r="E11" s="1736"/>
      <c r="K11" s="247"/>
      <c r="L11" s="247"/>
      <c r="M11" s="247"/>
      <c r="N11" s="247"/>
      <c r="Q11" s="259"/>
      <c r="R11" s="259"/>
    </row>
    <row r="12" spans="1:36" s="258" customFormat="1" ht="59.25" customHeight="1" x14ac:dyDescent="0.25">
      <c r="B12" s="1736" t="s">
        <v>869</v>
      </c>
      <c r="C12" s="1736"/>
      <c r="D12" s="1736"/>
      <c r="E12" s="1736"/>
      <c r="K12" s="247"/>
      <c r="L12" s="247"/>
      <c r="M12" s="247"/>
      <c r="N12" s="247"/>
      <c r="Q12" s="259"/>
      <c r="R12" s="259"/>
    </row>
    <row r="13" spans="1:36" s="258" customFormat="1" ht="15" x14ac:dyDescent="0.25">
      <c r="B13" s="244"/>
      <c r="C13" s="244"/>
      <c r="D13" s="244"/>
      <c r="E13" s="247"/>
      <c r="F13" s="1257"/>
      <c r="G13" s="1257"/>
      <c r="H13" s="248"/>
      <c r="I13" s="248"/>
      <c r="J13" s="244"/>
      <c r="K13" s="247"/>
      <c r="L13" s="247"/>
      <c r="M13" s="247"/>
      <c r="N13" s="247"/>
      <c r="O13" s="247"/>
      <c r="P13" s="247"/>
      <c r="Q13" s="259"/>
      <c r="R13" s="259"/>
    </row>
    <row r="14" spans="1:36" s="1032" customFormat="1" ht="18.75" x14ac:dyDescent="0.3">
      <c r="B14" s="913" t="s">
        <v>410</v>
      </c>
      <c r="C14" s="914"/>
      <c r="D14" s="915"/>
      <c r="E14" s="915"/>
      <c r="F14" s="915"/>
      <c r="G14" s="915"/>
      <c r="H14" s="915"/>
      <c r="I14" s="915"/>
      <c r="J14" s="915"/>
      <c r="K14" s="915"/>
      <c r="L14" s="915"/>
      <c r="M14" s="915"/>
      <c r="N14" s="915"/>
      <c r="O14" s="915"/>
      <c r="P14" s="915"/>
    </row>
    <row r="15" spans="1:36" s="258" customFormat="1" ht="15" x14ac:dyDescent="0.25">
      <c r="B15" s="639"/>
      <c r="C15" s="403"/>
      <c r="D15" s="259"/>
      <c r="E15" s="259"/>
      <c r="F15" s="259"/>
      <c r="G15" s="259"/>
      <c r="H15" s="259"/>
      <c r="I15" s="259"/>
      <c r="J15" s="259"/>
      <c r="K15" s="259"/>
      <c r="L15" s="259"/>
      <c r="M15" s="259"/>
      <c r="N15" s="259"/>
      <c r="O15" s="259"/>
      <c r="P15" s="259"/>
    </row>
    <row r="16" spans="1:36" s="258" customFormat="1" ht="15" x14ac:dyDescent="0.25">
      <c r="B16" s="639" t="s">
        <v>123</v>
      </c>
      <c r="C16" s="843"/>
      <c r="D16" s="668"/>
      <c r="E16" s="668"/>
      <c r="F16" s="668"/>
      <c r="G16" s="668"/>
      <c r="H16" s="668"/>
      <c r="I16" s="668"/>
      <c r="J16" s="259"/>
      <c r="K16" s="259"/>
      <c r="L16" s="259"/>
      <c r="M16" s="259"/>
      <c r="N16" s="259"/>
      <c r="O16" s="259"/>
      <c r="P16" s="259"/>
    </row>
    <row r="17" spans="2:23" s="258" customFormat="1" ht="15.75" thickBot="1" x14ac:dyDescent="0.3">
      <c r="B17" s="639"/>
      <c r="C17" s="843"/>
      <c r="D17" s="668"/>
      <c r="E17" s="668"/>
      <c r="F17" s="668"/>
      <c r="G17" s="668"/>
      <c r="H17" s="668"/>
      <c r="I17" s="668"/>
      <c r="J17" s="259"/>
      <c r="K17" s="259"/>
      <c r="L17" s="259"/>
      <c r="M17" s="259"/>
      <c r="N17" s="259"/>
      <c r="O17" s="259"/>
      <c r="P17" s="259"/>
    </row>
    <row r="18" spans="2:23" s="258" customFormat="1" ht="21.75" thickBot="1" x14ac:dyDescent="0.4">
      <c r="B18" s="639"/>
      <c r="C18" s="403"/>
      <c r="D18" s="259"/>
      <c r="E18" s="259"/>
      <c r="F18" s="259"/>
      <c r="G18" s="259"/>
      <c r="H18" s="259"/>
      <c r="I18" s="1742" t="str">
        <f>'1. Building Information'!$B$53</f>
        <v>SITE: Project Name -- Project Address</v>
      </c>
      <c r="J18" s="1743"/>
      <c r="K18" s="1743"/>
      <c r="L18" s="1743"/>
      <c r="M18" s="1744"/>
      <c r="N18" s="836"/>
      <c r="O18" s="836"/>
      <c r="P18" s="836"/>
      <c r="Q18" s="836"/>
      <c r="R18" s="836"/>
      <c r="S18" s="836"/>
      <c r="T18" s="836"/>
      <c r="U18" s="836"/>
      <c r="V18" s="836"/>
      <c r="W18" s="836"/>
    </row>
    <row r="19" spans="2:23" s="1445" customFormat="1" ht="63.75" customHeight="1" x14ac:dyDescent="0.2">
      <c r="B19" s="1438" t="s">
        <v>122</v>
      </c>
      <c r="C19" s="922" t="s">
        <v>889</v>
      </c>
      <c r="D19" s="922" t="s">
        <v>59</v>
      </c>
      <c r="E19" s="922" t="s">
        <v>885</v>
      </c>
      <c r="F19" s="922" t="s">
        <v>59</v>
      </c>
      <c r="G19" s="1439" t="s">
        <v>886</v>
      </c>
      <c r="H19" s="1440" t="s">
        <v>887</v>
      </c>
      <c r="I19" s="1441" t="s">
        <v>434</v>
      </c>
      <c r="J19" s="1442" t="s">
        <v>435</v>
      </c>
      <c r="K19" s="1443" t="s">
        <v>478</v>
      </c>
      <c r="L19" s="1443" t="s">
        <v>212</v>
      </c>
      <c r="M19" s="1444" t="s">
        <v>91</v>
      </c>
      <c r="N19" s="836"/>
      <c r="O19" s="836"/>
      <c r="P19" s="836"/>
      <c r="Q19" s="836"/>
      <c r="R19" s="836"/>
      <c r="S19" s="836"/>
      <c r="T19" s="836"/>
      <c r="U19" s="836"/>
      <c r="V19" s="836"/>
      <c r="W19" s="836"/>
    </row>
    <row r="20" spans="2:23" s="1453" customFormat="1" ht="17.25" x14ac:dyDescent="0.2">
      <c r="B20" s="1446" t="s">
        <v>61</v>
      </c>
      <c r="C20" s="1447">
        <v>2</v>
      </c>
      <c r="D20" s="1448" t="s">
        <v>62</v>
      </c>
      <c r="E20" s="1448">
        <v>5</v>
      </c>
      <c r="F20" s="1448" t="s">
        <v>7</v>
      </c>
      <c r="G20" s="1447">
        <v>0.1</v>
      </c>
      <c r="H20" s="1449">
        <v>0</v>
      </c>
      <c r="I20" s="1450">
        <f>'1. Building Information'!$W$82</f>
        <v>0</v>
      </c>
      <c r="J20" s="1451">
        <f>'1. Building Information'!$X$82</f>
        <v>0</v>
      </c>
      <c r="K20" s="233">
        <f>($C20*$E20*$G20*$I20)+($C20*$E20*$H20*$J20)</f>
        <v>0</v>
      </c>
      <c r="L20" s="233">
        <f>'1. Building Information'!Z82</f>
        <v>0</v>
      </c>
      <c r="M20" s="1452" t="str">
        <f>'6. Building Potential Summary'!E16</f>
        <v>No</v>
      </c>
      <c r="N20" s="836"/>
      <c r="O20" s="836"/>
      <c r="P20" s="836"/>
      <c r="Q20" s="836"/>
      <c r="R20" s="836"/>
      <c r="S20" s="836"/>
      <c r="T20" s="836"/>
      <c r="U20" s="836"/>
      <c r="V20" s="836"/>
      <c r="W20" s="836"/>
    </row>
    <row r="21" spans="2:23" s="1453" customFormat="1" ht="15" x14ac:dyDescent="0.2">
      <c r="B21" s="1446" t="s">
        <v>882</v>
      </c>
      <c r="C21" s="1448">
        <v>1.5</v>
      </c>
      <c r="D21" s="1448" t="s">
        <v>62</v>
      </c>
      <c r="E21" s="1448">
        <v>0.5</v>
      </c>
      <c r="F21" s="1448" t="s">
        <v>7</v>
      </c>
      <c r="G21" s="1447">
        <v>3</v>
      </c>
      <c r="H21" s="1449">
        <v>0.5</v>
      </c>
      <c r="I21" s="1450">
        <f>'1. Building Information'!$AA$82</f>
        <v>0</v>
      </c>
      <c r="J21" s="1451">
        <f>'1. Building Information'!$AB$82</f>
        <v>0</v>
      </c>
      <c r="K21" s="233">
        <f t="shared" ref="K21:K24" si="0">($C21*$E21*$G21*$I21)+($C21*$E21*$H21*$J21)</f>
        <v>0</v>
      </c>
      <c r="L21" s="233">
        <f>'1. Building Information'!AD82</f>
        <v>0</v>
      </c>
      <c r="M21" s="1452" t="str">
        <f>'6. Building Potential Summary'!E17</f>
        <v>No</v>
      </c>
      <c r="N21" s="836"/>
      <c r="O21" s="836"/>
      <c r="P21" s="836"/>
      <c r="Q21" s="836"/>
      <c r="R21" s="836"/>
      <c r="S21" s="836"/>
      <c r="T21" s="836"/>
      <c r="U21" s="836"/>
      <c r="V21" s="836"/>
      <c r="W21" s="836"/>
    </row>
    <row r="22" spans="2:23" s="1453" customFormat="1" ht="15" x14ac:dyDescent="0.2">
      <c r="B22" s="1446" t="s">
        <v>884</v>
      </c>
      <c r="C22" s="1448">
        <v>0.5</v>
      </c>
      <c r="D22" s="1448" t="s">
        <v>153</v>
      </c>
      <c r="E22" s="1448">
        <v>1</v>
      </c>
      <c r="F22" s="1448" t="s">
        <v>67</v>
      </c>
      <c r="G22" s="1447">
        <v>2</v>
      </c>
      <c r="H22" s="1449">
        <v>0.4</v>
      </c>
      <c r="I22" s="1450">
        <f>'1. Building Information'!$AE$82</f>
        <v>0</v>
      </c>
      <c r="J22" s="1451">
        <f>'1. Building Information'!$AF$82</f>
        <v>0</v>
      </c>
      <c r="K22" s="233">
        <f t="shared" si="0"/>
        <v>0</v>
      </c>
      <c r="L22" s="233">
        <f>'1. Building Information'!AH82</f>
        <v>0</v>
      </c>
      <c r="M22" s="1452" t="str">
        <f>'6. Building Potential Summary'!E18</f>
        <v>Yes</v>
      </c>
      <c r="N22" s="836"/>
      <c r="O22" s="836"/>
      <c r="P22" s="836"/>
      <c r="Q22" s="836"/>
      <c r="R22" s="836"/>
      <c r="S22" s="836"/>
      <c r="T22" s="836"/>
      <c r="U22" s="836"/>
      <c r="V22" s="836"/>
      <c r="W22" s="836"/>
    </row>
    <row r="23" spans="2:23" s="1453" customFormat="1" ht="15" x14ac:dyDescent="0.2">
      <c r="B23" s="1446" t="s">
        <v>78</v>
      </c>
      <c r="C23" s="1448">
        <v>1.28</v>
      </c>
      <c r="D23" s="1448" t="s">
        <v>153</v>
      </c>
      <c r="E23" s="1448">
        <v>1</v>
      </c>
      <c r="F23" s="1448" t="s">
        <v>67</v>
      </c>
      <c r="G23" s="1447">
        <v>3</v>
      </c>
      <c r="H23" s="1449">
        <v>0.5</v>
      </c>
      <c r="I23" s="1450">
        <f>'1. Building Information'!$AI$82</f>
        <v>0</v>
      </c>
      <c r="J23" s="1451">
        <f>'1. Building Information'!$AJ$82</f>
        <v>0</v>
      </c>
      <c r="K23" s="233">
        <f>($C23*$E23*$G23*$I23)+($C23*$E23*$H23*$J23)</f>
        <v>0</v>
      </c>
      <c r="L23" s="233">
        <f>'1. Building Information'!AL82</f>
        <v>0</v>
      </c>
      <c r="M23" s="1452" t="str">
        <f>'6. Building Potential Summary'!E19</f>
        <v>Yes</v>
      </c>
      <c r="N23" s="836"/>
      <c r="O23" s="836"/>
      <c r="P23" s="836"/>
      <c r="Q23" s="836"/>
      <c r="R23" s="836"/>
      <c r="S23" s="836"/>
      <c r="T23" s="836"/>
      <c r="U23" s="836"/>
      <c r="V23" s="836"/>
      <c r="W23" s="836"/>
    </row>
    <row r="24" spans="2:23" s="1453" customFormat="1" ht="17.25" x14ac:dyDescent="0.2">
      <c r="B24" s="1446" t="s">
        <v>883</v>
      </c>
      <c r="C24" s="1448">
        <v>2.2000000000000002</v>
      </c>
      <c r="D24" s="1448" t="s">
        <v>62</v>
      </c>
      <c r="E24" s="1448">
        <f>15/60</f>
        <v>0.25</v>
      </c>
      <c r="F24" s="1448" t="s">
        <v>7</v>
      </c>
      <c r="G24" s="1447">
        <v>1</v>
      </c>
      <c r="H24" s="1449">
        <v>0</v>
      </c>
      <c r="I24" s="1450">
        <f>'1. Building Information'!$L$67+'1. Building Information'!$L$71+'1. Building Information'!$L$72+'1. Building Information'!$L$73+'1. Building Information'!$L$76+'1. Building Information'!$L$77+'1. Building Information'!$L$78</f>
        <v>0</v>
      </c>
      <c r="J24" s="1451">
        <f>'1. Building Information'!$M$67+'1. Building Information'!$M$71+'1. Building Information'!$M$72+'1. Building Information'!$M$73+'1. Building Information'!$M$76+'1. Building Information'!$M$77+'1. Building Information'!$M$78</f>
        <v>0</v>
      </c>
      <c r="K24" s="233">
        <f t="shared" si="0"/>
        <v>0</v>
      </c>
      <c r="L24" s="233">
        <f>'1. Building Information'!AP82</f>
        <v>0</v>
      </c>
      <c r="M24" s="1452" t="str">
        <f>'6. Building Potential Summary'!E20</f>
        <v>No</v>
      </c>
      <c r="N24" s="836"/>
      <c r="O24" s="836"/>
      <c r="P24" s="836"/>
      <c r="Q24" s="836"/>
      <c r="R24" s="836"/>
      <c r="S24" s="836"/>
      <c r="T24" s="836"/>
      <c r="U24" s="836"/>
      <c r="V24" s="836"/>
      <c r="W24" s="836"/>
    </row>
    <row r="25" spans="2:23" s="1453" customFormat="1" ht="18" thickBot="1" x14ac:dyDescent="0.25">
      <c r="B25" s="1446" t="s">
        <v>157</v>
      </c>
      <c r="C25" s="1448">
        <v>82.51</v>
      </c>
      <c r="D25" s="1448" t="s">
        <v>890</v>
      </c>
      <c r="E25" s="1448">
        <v>1</v>
      </c>
      <c r="F25" s="1448" t="s">
        <v>71</v>
      </c>
      <c r="G25" s="1447">
        <v>1</v>
      </c>
      <c r="H25" s="1449">
        <v>0</v>
      </c>
      <c r="I25" s="1450">
        <f>'1. Building Information'!$AQ$82</f>
        <v>0</v>
      </c>
      <c r="J25" s="1451">
        <f>'1. Building Information'!$AR$82</f>
        <v>0</v>
      </c>
      <c r="K25" s="234">
        <f>($C25*$E25*$G25*$I25)+($C25*$E25*$H25*$J25)</f>
        <v>0</v>
      </c>
      <c r="L25" s="234">
        <f>'1. Building Information'!AT82</f>
        <v>0</v>
      </c>
      <c r="M25" s="1452" t="str">
        <f>'6. Building Potential Summary'!E21</f>
        <v>No</v>
      </c>
      <c r="N25" s="836"/>
      <c r="O25" s="836"/>
      <c r="P25" s="836"/>
      <c r="Q25" s="836"/>
      <c r="R25" s="836"/>
      <c r="S25" s="836"/>
      <c r="T25" s="836"/>
      <c r="U25" s="836"/>
      <c r="V25" s="836"/>
      <c r="W25" s="836"/>
    </row>
    <row r="26" spans="2:23" s="1453" customFormat="1" ht="30" customHeight="1" thickTop="1" thickBot="1" x14ac:dyDescent="0.25">
      <c r="B26" s="1747" t="s">
        <v>20</v>
      </c>
      <c r="C26" s="1748"/>
      <c r="D26" s="1748"/>
      <c r="E26" s="1748"/>
      <c r="F26" s="1748"/>
      <c r="G26" s="1748"/>
      <c r="H26" s="1749"/>
      <c r="I26" s="916"/>
      <c r="J26" s="917"/>
      <c r="K26" s="235">
        <f>SUM(K20:K25)</f>
        <v>0</v>
      </c>
      <c r="L26" s="235">
        <f>SUM(L20:L25)</f>
        <v>0</v>
      </c>
      <c r="M26" s="1454"/>
      <c r="N26" s="836"/>
      <c r="O26" s="836"/>
      <c r="P26" s="836"/>
      <c r="Q26" s="836"/>
      <c r="R26" s="836"/>
      <c r="S26" s="836"/>
      <c r="T26" s="836"/>
      <c r="U26" s="836"/>
      <c r="V26" s="836"/>
      <c r="W26" s="836"/>
    </row>
    <row r="27" spans="2:23" s="836" customFormat="1" ht="48" customHeight="1" thickBot="1" x14ac:dyDescent="0.3">
      <c r="B27" s="1737" t="s">
        <v>712</v>
      </c>
      <c r="C27" s="1737"/>
      <c r="D27" s="1737"/>
      <c r="E27" s="1737"/>
      <c r="F27" s="1737"/>
      <c r="G27" s="1737"/>
      <c r="H27" s="1738"/>
      <c r="I27" s="1732" t="s">
        <v>629</v>
      </c>
      <c r="J27" s="1733"/>
      <c r="K27" s="236">
        <f>L27/365</f>
        <v>0</v>
      </c>
      <c r="L27" s="1508">
        <v>0</v>
      </c>
      <c r="M27" s="1455"/>
    </row>
    <row r="28" spans="2:23" s="836" customFormat="1" ht="15" x14ac:dyDescent="0.2">
      <c r="B28" s="833"/>
      <c r="C28" s="826"/>
      <c r="D28" s="826"/>
      <c r="E28" s="826"/>
      <c r="F28" s="826"/>
      <c r="G28" s="826"/>
      <c r="H28" s="826"/>
      <c r="I28" s="826"/>
      <c r="J28" s="826"/>
      <c r="K28" s="835"/>
      <c r="L28" s="835"/>
      <c r="M28" s="835"/>
      <c r="N28" s="835"/>
      <c r="O28" s="835"/>
      <c r="P28" s="835"/>
      <c r="R28" s="599"/>
      <c r="S28" s="599"/>
    </row>
    <row r="29" spans="2:23" s="836" customFormat="1" ht="15" x14ac:dyDescent="0.2">
      <c r="B29" s="825" t="s">
        <v>55</v>
      </c>
      <c r="C29" s="826"/>
      <c r="D29" s="826"/>
      <c r="E29" s="826"/>
      <c r="F29" s="826"/>
      <c r="G29" s="826"/>
      <c r="H29" s="826"/>
      <c r="I29" s="826"/>
      <c r="J29" s="280" t="s">
        <v>151</v>
      </c>
      <c r="K29" s="835"/>
      <c r="N29" s="835"/>
      <c r="O29" s="835"/>
      <c r="P29" s="835"/>
      <c r="R29" s="599"/>
      <c r="S29" s="599"/>
    </row>
    <row r="30" spans="2:23" s="836" customFormat="1" ht="15" x14ac:dyDescent="0.2">
      <c r="B30" s="827" t="s">
        <v>390</v>
      </c>
      <c r="C30" s="826"/>
      <c r="D30" s="826"/>
      <c r="E30" s="826"/>
      <c r="F30" s="826"/>
      <c r="G30" s="826"/>
      <c r="H30" s="826"/>
      <c r="I30" s="826"/>
      <c r="J30" s="281" t="s">
        <v>152</v>
      </c>
      <c r="K30" s="835"/>
      <c r="N30" s="835"/>
      <c r="O30" s="835"/>
      <c r="P30" s="835"/>
      <c r="Q30" s="599"/>
      <c r="R30" s="599"/>
    </row>
    <row r="31" spans="2:23" s="403" customFormat="1" ht="15" x14ac:dyDescent="0.25">
      <c r="B31" s="827" t="s">
        <v>881</v>
      </c>
      <c r="C31" s="829"/>
      <c r="D31" s="829"/>
      <c r="E31" s="830"/>
      <c r="F31" s="830"/>
      <c r="G31" s="829"/>
      <c r="H31" s="829"/>
      <c r="I31" s="829"/>
      <c r="J31" s="281" t="s">
        <v>154</v>
      </c>
      <c r="K31" s="830"/>
      <c r="N31" s="830"/>
      <c r="O31" s="830"/>
      <c r="P31" s="830"/>
      <c r="Q31" s="259"/>
      <c r="R31" s="259"/>
    </row>
    <row r="32" spans="2:23" s="258" customFormat="1" ht="15" x14ac:dyDescent="0.25">
      <c r="B32" s="834" t="s">
        <v>888</v>
      </c>
      <c r="C32" s="831"/>
      <c r="D32" s="831"/>
      <c r="E32" s="832"/>
      <c r="F32" s="832"/>
      <c r="G32" s="831"/>
      <c r="H32" s="831"/>
      <c r="I32" s="831"/>
      <c r="J32" s="281" t="s">
        <v>155</v>
      </c>
      <c r="K32" s="832"/>
      <c r="N32" s="837"/>
      <c r="O32" s="837"/>
      <c r="P32" s="837"/>
      <c r="Q32" s="1313"/>
      <c r="R32" s="259"/>
    </row>
    <row r="33" spans="1:18" s="258" customFormat="1" ht="15" x14ac:dyDescent="0.25">
      <c r="B33" s="828" t="s">
        <v>119</v>
      </c>
      <c r="C33" s="831"/>
      <c r="D33" s="831"/>
      <c r="E33" s="832"/>
      <c r="F33" s="832"/>
      <c r="G33" s="831"/>
      <c r="H33" s="831"/>
      <c r="I33" s="831"/>
      <c r="K33" s="832"/>
      <c r="L33" s="837"/>
      <c r="M33" s="837"/>
      <c r="N33" s="837"/>
      <c r="O33" s="837"/>
      <c r="P33" s="837"/>
      <c r="Q33" s="1313"/>
      <c r="R33" s="259"/>
    </row>
    <row r="34" spans="1:18" s="258" customFormat="1" ht="15" x14ac:dyDescent="0.25">
      <c r="B34" s="828" t="s">
        <v>891</v>
      </c>
      <c r="C34" s="831"/>
      <c r="D34" s="831"/>
      <c r="E34" s="832"/>
      <c r="F34" s="832"/>
      <c r="G34" s="831"/>
      <c r="H34" s="831"/>
      <c r="I34" s="831"/>
      <c r="J34" s="831"/>
      <c r="K34" s="832"/>
      <c r="L34" s="837"/>
      <c r="M34" s="837"/>
      <c r="N34" s="837"/>
      <c r="O34" s="837"/>
      <c r="P34" s="837"/>
      <c r="Q34" s="1313"/>
      <c r="R34" s="259"/>
    </row>
    <row r="35" spans="1:18" s="258" customFormat="1" ht="15" x14ac:dyDescent="0.25">
      <c r="B35" s="828"/>
      <c r="C35" s="831"/>
      <c r="D35" s="831"/>
      <c r="E35" s="832"/>
      <c r="F35" s="832"/>
      <c r="G35" s="831"/>
      <c r="H35" s="831"/>
      <c r="I35" s="831"/>
      <c r="J35" s="831"/>
      <c r="K35" s="832"/>
      <c r="L35" s="837"/>
      <c r="M35" s="837"/>
      <c r="N35" s="837"/>
      <c r="O35" s="837"/>
      <c r="P35" s="837"/>
      <c r="Q35" s="1313"/>
      <c r="R35" s="259"/>
    </row>
    <row r="36" spans="1:18" s="936" customFormat="1" ht="18.75" x14ac:dyDescent="0.3">
      <c r="B36" s="918" t="s">
        <v>409</v>
      </c>
      <c r="C36" s="919"/>
      <c r="D36" s="920"/>
      <c r="E36" s="920"/>
      <c r="F36" s="920"/>
      <c r="G36" s="920"/>
      <c r="H36" s="920"/>
      <c r="I36" s="920"/>
      <c r="J36" s="920"/>
      <c r="K36" s="920"/>
      <c r="L36" s="920"/>
      <c r="M36" s="920"/>
      <c r="N36" s="920"/>
      <c r="O36" s="920"/>
      <c r="P36" s="920"/>
    </row>
    <row r="37" spans="1:18" s="258" customFormat="1" ht="15" customHeight="1" x14ac:dyDescent="0.25">
      <c r="B37" s="639"/>
      <c r="C37" s="403"/>
      <c r="D37" s="259"/>
      <c r="E37" s="259"/>
      <c r="F37" s="259"/>
      <c r="G37" s="259"/>
      <c r="H37" s="259"/>
      <c r="I37" s="259"/>
      <c r="J37" s="259"/>
      <c r="K37" s="259"/>
      <c r="L37" s="259"/>
      <c r="M37" s="259"/>
      <c r="N37" s="259"/>
      <c r="O37" s="259"/>
      <c r="P37" s="259"/>
    </row>
    <row r="38" spans="1:18" s="258" customFormat="1" ht="15" customHeight="1" thickBot="1" x14ac:dyDescent="0.3">
      <c r="B38" s="639" t="s">
        <v>830</v>
      </c>
      <c r="C38" s="403"/>
      <c r="D38" s="259"/>
      <c r="E38" s="259"/>
      <c r="F38" s="259"/>
      <c r="G38" s="259"/>
      <c r="H38" s="259"/>
      <c r="I38" s="259"/>
      <c r="J38" s="259"/>
      <c r="K38" s="259"/>
      <c r="L38" s="259"/>
      <c r="M38" s="259"/>
      <c r="N38" s="259"/>
      <c r="O38" s="259"/>
      <c r="P38" s="259"/>
    </row>
    <row r="39" spans="1:18" s="258" customFormat="1" ht="45" customHeight="1" thickBot="1" x14ac:dyDescent="0.4">
      <c r="A39" s="247"/>
      <c r="B39" s="247"/>
      <c r="C39" s="244"/>
      <c r="D39" s="1742" t="str">
        <f>'1. Building Information'!$B$53</f>
        <v>SITE: Project Name -- Project Address</v>
      </c>
      <c r="E39" s="1743"/>
      <c r="F39" s="1743"/>
      <c r="G39" s="1744"/>
      <c r="H39" s="830"/>
      <c r="I39" s="830"/>
      <c r="J39" s="830"/>
      <c r="K39" s="830"/>
      <c r="L39" s="830"/>
      <c r="M39" s="830"/>
      <c r="N39" s="830"/>
      <c r="O39" s="830"/>
    </row>
    <row r="40" spans="1:18" s="1456" customFormat="1" ht="45" customHeight="1" x14ac:dyDescent="0.25">
      <c r="A40" s="1445"/>
      <c r="B40" s="921" t="s">
        <v>57</v>
      </c>
      <c r="C40" s="922" t="s">
        <v>825</v>
      </c>
      <c r="D40" s="1441" t="s">
        <v>60</v>
      </c>
      <c r="E40" s="1443" t="s">
        <v>90</v>
      </c>
      <c r="F40" s="1443" t="s">
        <v>212</v>
      </c>
      <c r="G40" s="1444" t="s">
        <v>91</v>
      </c>
      <c r="H40" s="830"/>
      <c r="I40" s="830"/>
      <c r="J40" s="830"/>
      <c r="K40" s="830"/>
      <c r="L40" s="830"/>
      <c r="M40" s="830"/>
      <c r="N40" s="830"/>
      <c r="O40" s="830"/>
    </row>
    <row r="41" spans="1:18" s="836" customFormat="1" ht="15" x14ac:dyDescent="0.25">
      <c r="A41" s="1453"/>
      <c r="B41" s="1457" t="s">
        <v>827</v>
      </c>
      <c r="C41" s="1447">
        <v>11.1</v>
      </c>
      <c r="D41" s="1458">
        <f>'1. Building Information'!$C$92</f>
        <v>0</v>
      </c>
      <c r="E41" s="233">
        <f>$C41*D41</f>
        <v>0</v>
      </c>
      <c r="F41" s="233">
        <f>365*E41</f>
        <v>0</v>
      </c>
      <c r="G41" s="1452" t="s">
        <v>73</v>
      </c>
      <c r="H41" s="830"/>
      <c r="I41" s="830"/>
      <c r="J41" s="830"/>
      <c r="K41" s="830"/>
      <c r="L41" s="830"/>
      <c r="M41" s="830"/>
      <c r="N41" s="830"/>
      <c r="O41" s="830"/>
    </row>
    <row r="42" spans="1:18" s="836" customFormat="1" ht="15" x14ac:dyDescent="0.25">
      <c r="A42" s="1453"/>
      <c r="B42" s="1457" t="s">
        <v>826</v>
      </c>
      <c r="C42" s="1447">
        <v>11.1</v>
      </c>
      <c r="D42" s="1458">
        <f>'1. Building Information'!$C$92</f>
        <v>0</v>
      </c>
      <c r="E42" s="233">
        <f t="shared" ref="E42:E48" si="1">$C42*D42</f>
        <v>0</v>
      </c>
      <c r="F42" s="233">
        <f t="shared" ref="F42:F48" si="2">365*E42</f>
        <v>0</v>
      </c>
      <c r="G42" s="1452" t="s">
        <v>73</v>
      </c>
      <c r="H42" s="830"/>
      <c r="I42" s="830"/>
      <c r="J42" s="830"/>
      <c r="K42" s="830"/>
      <c r="L42" s="830"/>
      <c r="M42" s="830"/>
      <c r="N42" s="830"/>
      <c r="O42" s="830"/>
    </row>
    <row r="43" spans="1:18" s="836" customFormat="1" ht="15" x14ac:dyDescent="0.25">
      <c r="A43" s="1453"/>
      <c r="B43" s="1457" t="s">
        <v>77</v>
      </c>
      <c r="C43" s="1447">
        <v>1.5</v>
      </c>
      <c r="D43" s="1458">
        <f>'1. Building Information'!$C$92</f>
        <v>0</v>
      </c>
      <c r="E43" s="233">
        <f t="shared" si="1"/>
        <v>0</v>
      </c>
      <c r="F43" s="233">
        <f t="shared" si="2"/>
        <v>0</v>
      </c>
      <c r="G43" s="1452" t="s">
        <v>73</v>
      </c>
      <c r="H43" s="830"/>
      <c r="I43" s="830"/>
      <c r="J43" s="830"/>
      <c r="K43" s="830"/>
      <c r="L43" s="830"/>
      <c r="M43" s="830"/>
      <c r="N43" s="830"/>
      <c r="O43" s="830"/>
    </row>
    <row r="44" spans="1:18" s="836" customFormat="1" ht="15" x14ac:dyDescent="0.25">
      <c r="A44" s="1453"/>
      <c r="B44" s="1457" t="s">
        <v>834</v>
      </c>
      <c r="C44" s="1447">
        <v>9.6</v>
      </c>
      <c r="D44" s="1458">
        <f>'1. Building Information'!$C$92</f>
        <v>0</v>
      </c>
      <c r="E44" s="233">
        <f t="shared" si="1"/>
        <v>0</v>
      </c>
      <c r="F44" s="233">
        <f t="shared" si="2"/>
        <v>0</v>
      </c>
      <c r="G44" s="1452" t="s">
        <v>72</v>
      </c>
      <c r="H44" s="830"/>
      <c r="I44" s="830"/>
      <c r="J44" s="830"/>
      <c r="K44" s="830"/>
      <c r="L44" s="830"/>
      <c r="M44" s="830"/>
      <c r="N44" s="830"/>
      <c r="O44" s="830"/>
    </row>
    <row r="45" spans="1:18" s="836" customFormat="1" ht="15" x14ac:dyDescent="0.25">
      <c r="A45" s="1453"/>
      <c r="B45" s="1457" t="s">
        <v>78</v>
      </c>
      <c r="C45" s="1447">
        <v>14.2</v>
      </c>
      <c r="D45" s="1458">
        <f>'1. Building Information'!$C$92</f>
        <v>0</v>
      </c>
      <c r="E45" s="233">
        <f>$C45*D45</f>
        <v>0</v>
      </c>
      <c r="F45" s="233">
        <f t="shared" si="2"/>
        <v>0</v>
      </c>
      <c r="G45" s="1452" t="s">
        <v>72</v>
      </c>
      <c r="H45" s="830"/>
      <c r="I45" s="830"/>
      <c r="J45" s="830"/>
      <c r="K45" s="830"/>
      <c r="L45" s="830"/>
      <c r="M45" s="830"/>
      <c r="N45" s="830"/>
      <c r="O45" s="830"/>
    </row>
    <row r="46" spans="1:18" s="836" customFormat="1" ht="17.25" x14ac:dyDescent="0.25">
      <c r="A46" s="1453"/>
      <c r="B46" s="1457" t="s">
        <v>68</v>
      </c>
      <c r="C46" s="1447">
        <v>11.1</v>
      </c>
      <c r="D46" s="1458">
        <f>'1. Building Information'!$C$92</f>
        <v>0</v>
      </c>
      <c r="E46" s="233">
        <f t="shared" ref="E46:E47" si="3">$C46*D46</f>
        <v>0</v>
      </c>
      <c r="F46" s="233">
        <f t="shared" ref="F46:F47" si="4">365*E46</f>
        <v>0</v>
      </c>
      <c r="G46" s="1452" t="s">
        <v>73</v>
      </c>
      <c r="H46" s="830"/>
      <c r="I46" s="830"/>
      <c r="J46" s="830"/>
      <c r="K46" s="830"/>
      <c r="L46" s="830"/>
      <c r="M46" s="830"/>
    </row>
    <row r="47" spans="1:18" s="836" customFormat="1" ht="15" x14ac:dyDescent="0.25">
      <c r="A47" s="1453"/>
      <c r="B47" s="1457" t="s">
        <v>829</v>
      </c>
      <c r="C47" s="1447">
        <v>0.7</v>
      </c>
      <c r="D47" s="1458">
        <f>'1. Building Information'!$C$92</f>
        <v>0</v>
      </c>
      <c r="E47" s="233">
        <f t="shared" si="3"/>
        <v>0</v>
      </c>
      <c r="F47" s="233">
        <f t="shared" si="4"/>
        <v>0</v>
      </c>
      <c r="G47" s="1452" t="s">
        <v>73</v>
      </c>
      <c r="H47" s="830"/>
      <c r="I47" s="830"/>
      <c r="J47" s="830"/>
      <c r="K47" s="830"/>
      <c r="L47" s="830"/>
      <c r="M47" s="830"/>
      <c r="N47" s="830"/>
      <c r="O47" s="830"/>
    </row>
    <row r="48" spans="1:18" s="836" customFormat="1" ht="15" x14ac:dyDescent="0.25">
      <c r="A48" s="1453"/>
      <c r="B48" s="1457" t="s">
        <v>828</v>
      </c>
      <c r="C48" s="1447">
        <v>2.5</v>
      </c>
      <c r="D48" s="1458">
        <f>'1. Building Information'!$C$92</f>
        <v>0</v>
      </c>
      <c r="E48" s="233">
        <f t="shared" si="1"/>
        <v>0</v>
      </c>
      <c r="F48" s="233">
        <f t="shared" si="2"/>
        <v>0</v>
      </c>
      <c r="G48" s="1452" t="s">
        <v>73</v>
      </c>
      <c r="H48" s="830"/>
      <c r="I48" s="830"/>
      <c r="J48" s="830"/>
      <c r="K48" s="830"/>
      <c r="L48" s="830"/>
      <c r="M48" s="830"/>
      <c r="N48" s="830"/>
      <c r="O48" s="830"/>
    </row>
    <row r="49" spans="1:20" s="836" customFormat="1" ht="28.5" customHeight="1" thickBot="1" x14ac:dyDescent="0.3">
      <c r="A49" s="1453"/>
      <c r="B49" s="1747" t="s">
        <v>20</v>
      </c>
      <c r="C49" s="1749"/>
      <c r="D49" s="1459"/>
      <c r="E49" s="237">
        <f>SUM(E41:E48)</f>
        <v>0</v>
      </c>
      <c r="F49" s="237">
        <f>SUM(F41:F48)</f>
        <v>0</v>
      </c>
      <c r="G49" s="1460"/>
      <c r="H49" s="830"/>
      <c r="I49" s="830"/>
      <c r="J49" s="830"/>
      <c r="K49" s="830"/>
      <c r="L49" s="830"/>
      <c r="M49" s="830"/>
      <c r="N49" s="830"/>
      <c r="O49" s="830"/>
    </row>
    <row r="50" spans="1:20" s="836" customFormat="1" ht="90.75" customHeight="1" thickBot="1" x14ac:dyDescent="0.3">
      <c r="B50" s="1750" t="s">
        <v>712</v>
      </c>
      <c r="C50" s="1751"/>
      <c r="D50" s="1461" t="s">
        <v>630</v>
      </c>
      <c r="E50" s="238">
        <f>F50/365</f>
        <v>0</v>
      </c>
      <c r="F50" s="1507">
        <v>0</v>
      </c>
      <c r="G50" s="1462"/>
      <c r="H50" s="830"/>
      <c r="I50" s="830"/>
      <c r="J50" s="830"/>
      <c r="K50" s="830"/>
      <c r="L50" s="830"/>
      <c r="M50" s="830"/>
      <c r="N50" s="830"/>
      <c r="O50" s="830"/>
    </row>
    <row r="51" spans="1:20" s="836" customFormat="1" ht="15" customHeight="1" x14ac:dyDescent="0.2">
      <c r="B51" s="599"/>
      <c r="C51" s="599"/>
      <c r="D51" s="599"/>
      <c r="E51" s="599"/>
      <c r="F51" s="599"/>
      <c r="G51" s="599"/>
      <c r="H51" s="599"/>
      <c r="I51" s="599"/>
      <c r="J51" s="599"/>
      <c r="K51" s="599"/>
      <c r="L51" s="835"/>
      <c r="M51" s="835"/>
      <c r="N51" s="835"/>
      <c r="O51" s="835"/>
      <c r="P51" s="835"/>
      <c r="Q51" s="599"/>
      <c r="R51" s="599"/>
    </row>
    <row r="52" spans="1:20" s="836" customFormat="1" ht="15" customHeight="1" x14ac:dyDescent="0.2">
      <c r="B52" s="825" t="s">
        <v>55</v>
      </c>
      <c r="C52" s="826"/>
      <c r="D52" s="826"/>
      <c r="E52" s="826"/>
      <c r="F52" s="826"/>
      <c r="G52" s="826"/>
      <c r="H52" s="826"/>
      <c r="J52" s="280"/>
      <c r="K52" s="835"/>
      <c r="L52" s="835"/>
      <c r="M52" s="835"/>
      <c r="N52" s="835"/>
      <c r="O52" s="835"/>
      <c r="P52" s="835"/>
      <c r="Q52" s="599"/>
      <c r="R52" s="599"/>
    </row>
    <row r="53" spans="1:20" s="836" customFormat="1" ht="15" customHeight="1" x14ac:dyDescent="0.2">
      <c r="B53" s="827" t="s">
        <v>880</v>
      </c>
      <c r="C53" s="826"/>
      <c r="D53" s="826"/>
      <c r="E53" s="826"/>
      <c r="F53" s="826"/>
      <c r="G53" s="826"/>
      <c r="H53" s="826"/>
      <c r="J53" s="281"/>
      <c r="K53" s="835"/>
      <c r="L53" s="835"/>
      <c r="M53" s="835"/>
      <c r="N53" s="835"/>
      <c r="O53" s="835"/>
      <c r="P53" s="835"/>
      <c r="Q53" s="599"/>
      <c r="R53" s="599"/>
    </row>
    <row r="54" spans="1:20" s="258" customFormat="1" ht="15" customHeight="1" x14ac:dyDescent="0.25">
      <c r="B54" s="828"/>
      <c r="C54" s="831"/>
      <c r="D54" s="831"/>
      <c r="E54" s="832"/>
      <c r="F54" s="832"/>
      <c r="G54" s="831"/>
      <c r="H54" s="831"/>
      <c r="I54" s="844"/>
      <c r="J54" s="831"/>
      <c r="K54" s="832"/>
      <c r="L54" s="832"/>
      <c r="M54" s="832"/>
      <c r="N54" s="832"/>
      <c r="O54" s="832"/>
      <c r="P54" s="832"/>
      <c r="Q54" s="259"/>
      <c r="R54" s="259"/>
    </row>
    <row r="55" spans="1:20" s="936" customFormat="1" ht="18.75" x14ac:dyDescent="0.3">
      <c r="B55" s="918" t="s">
        <v>622</v>
      </c>
      <c r="C55" s="919"/>
      <c r="D55" s="920"/>
      <c r="E55" s="920"/>
      <c r="F55" s="920"/>
      <c r="G55" s="920"/>
      <c r="H55" s="920"/>
      <c r="I55" s="920"/>
      <c r="J55" s="920"/>
      <c r="K55" s="920"/>
      <c r="L55" s="920"/>
      <c r="M55" s="920"/>
      <c r="N55" s="920"/>
      <c r="O55" s="920"/>
      <c r="P55" s="920"/>
    </row>
    <row r="56" spans="1:20" s="258" customFormat="1" ht="15" hidden="1" customHeight="1" x14ac:dyDescent="0.25">
      <c r="B56" s="759"/>
      <c r="C56" s="403"/>
      <c r="D56" s="259"/>
      <c r="E56" s="259"/>
      <c r="F56" s="259"/>
      <c r="G56" s="259"/>
      <c r="H56" s="259"/>
      <c r="I56" s="259"/>
      <c r="J56" s="259"/>
      <c r="K56" s="259"/>
      <c r="L56" s="259"/>
      <c r="M56" s="259"/>
      <c r="N56" s="259"/>
      <c r="O56" s="259"/>
      <c r="P56" s="259"/>
    </row>
    <row r="57" spans="1:20" s="772" customFormat="1" ht="18.75" hidden="1" customHeight="1" x14ac:dyDescent="0.35">
      <c r="A57" s="1463"/>
      <c r="B57" s="1464" t="str">
        <f>'1. Building Information'!$B$53</f>
        <v>SITE: Project Name -- Project Address</v>
      </c>
      <c r="C57" s="1465"/>
      <c r="D57" s="1465"/>
      <c r="E57" s="1465"/>
      <c r="F57" s="1466"/>
      <c r="G57" s="1466"/>
      <c r="H57" s="1466"/>
      <c r="I57" s="1466"/>
      <c r="J57" s="1466"/>
      <c r="K57" s="1466"/>
      <c r="L57" s="1466"/>
      <c r="M57" s="1466"/>
      <c r="N57" s="1466"/>
      <c r="O57" s="1466"/>
      <c r="P57" s="1466"/>
      <c r="Q57" s="1467"/>
      <c r="R57" s="1467"/>
      <c r="S57" s="1467"/>
      <c r="T57" s="1468"/>
    </row>
    <row r="58" spans="1:20" s="258" customFormat="1" ht="15" hidden="1" customHeight="1" x14ac:dyDescent="0.25">
      <c r="B58" s="759"/>
      <c r="C58" s="403"/>
      <c r="D58" s="259"/>
      <c r="E58" s="259"/>
      <c r="F58" s="259"/>
      <c r="H58" s="1739" t="s">
        <v>407</v>
      </c>
      <c r="I58" s="1740"/>
      <c r="J58" s="1740"/>
      <c r="K58" s="1740"/>
      <c r="L58" s="1740"/>
      <c r="M58" s="1740"/>
      <c r="N58" s="1740"/>
      <c r="O58" s="1740"/>
      <c r="P58" s="1740"/>
      <c r="Q58" s="1740"/>
      <c r="R58" s="1740"/>
      <c r="S58" s="1741"/>
      <c r="T58" s="1469" t="s">
        <v>165</v>
      </c>
    </row>
    <row r="59" spans="1:20" s="258" customFormat="1" ht="17.25" hidden="1" customHeight="1" x14ac:dyDescent="0.25">
      <c r="B59" s="759"/>
      <c r="C59" s="403"/>
      <c r="D59" s="259"/>
      <c r="E59" s="1470"/>
      <c r="F59" s="1470"/>
      <c r="G59" s="1470" t="s">
        <v>167</v>
      </c>
      <c r="H59" s="1471">
        <v>51.04</v>
      </c>
      <c r="I59" s="1471">
        <v>53.87</v>
      </c>
      <c r="J59" s="1471">
        <v>55.21</v>
      </c>
      <c r="K59" s="1471">
        <v>56.25</v>
      </c>
      <c r="L59" s="1471">
        <v>57.53</v>
      </c>
      <c r="M59" s="1471">
        <v>59.49</v>
      </c>
      <c r="N59" s="1471">
        <v>59.77</v>
      </c>
      <c r="O59" s="1471">
        <v>60.61</v>
      </c>
      <c r="P59" s="1471">
        <v>62.68</v>
      </c>
      <c r="Q59" s="1471">
        <v>61.78</v>
      </c>
      <c r="R59" s="1471">
        <v>57.38</v>
      </c>
      <c r="S59" s="1471">
        <v>52.03</v>
      </c>
      <c r="T59" s="1472">
        <f>AVERAGE(H59:S59)</f>
        <v>57.30333333333332</v>
      </c>
    </row>
    <row r="60" spans="1:20" s="258" customFormat="1" ht="17.25" hidden="1" customHeight="1" x14ac:dyDescent="0.25">
      <c r="B60" s="759"/>
      <c r="C60" s="403"/>
      <c r="D60" s="259"/>
      <c r="E60" s="1470"/>
      <c r="F60" s="1470"/>
      <c r="G60" s="1470" t="s">
        <v>168</v>
      </c>
      <c r="H60" s="1473">
        <v>1.4135955735999996E-2</v>
      </c>
      <c r="I60" s="1473">
        <v>1.6593084557999994E-2</v>
      </c>
      <c r="J60" s="1473">
        <v>1.7756530713999998E-2</v>
      </c>
      <c r="K60" s="1473">
        <v>1.8659503850000002E-2</v>
      </c>
      <c r="L60" s="1473">
        <v>1.9770855402E-2</v>
      </c>
      <c r="M60" s="1473">
        <v>2.1472612466000005E-2</v>
      </c>
      <c r="N60" s="1473">
        <v>2.1715720617999999E-2</v>
      </c>
      <c r="O60" s="1473">
        <v>2.2445045073999997E-2</v>
      </c>
      <c r="P60" s="1473">
        <v>2.4242308912E-2</v>
      </c>
      <c r="Q60" s="1473">
        <v>2.3460889851999997E-2</v>
      </c>
      <c r="R60" s="1473">
        <v>1.9640618892E-2</v>
      </c>
      <c r="S60" s="1473">
        <v>1.4995516702E-2</v>
      </c>
      <c r="T60" s="1472">
        <f>AVERAGE(H60:S60)</f>
        <v>1.9574053564666665E-2</v>
      </c>
    </row>
    <row r="61" spans="1:20" s="258" customFormat="1" ht="45" hidden="1" customHeight="1" x14ac:dyDescent="0.25">
      <c r="B61" s="1474" t="str">
        <f>'1. Building Information'!B66</f>
        <v>Space Type</v>
      </c>
      <c r="C61" s="1745" t="s">
        <v>50</v>
      </c>
      <c r="D61" s="1746"/>
      <c r="E61" s="1474" t="s">
        <v>406</v>
      </c>
      <c r="F61" s="1475" t="s">
        <v>481</v>
      </c>
      <c r="G61" s="1475" t="s">
        <v>405</v>
      </c>
      <c r="H61" s="1474" t="s">
        <v>28</v>
      </c>
      <c r="I61" s="1474" t="s">
        <v>29</v>
      </c>
      <c r="J61" s="1474" t="s">
        <v>30</v>
      </c>
      <c r="K61" s="1474" t="s">
        <v>31</v>
      </c>
      <c r="L61" s="1474" t="s">
        <v>32</v>
      </c>
      <c r="M61" s="1474" t="s">
        <v>33</v>
      </c>
      <c r="N61" s="1474" t="s">
        <v>8</v>
      </c>
      <c r="O61" s="1474" t="s">
        <v>9</v>
      </c>
      <c r="P61" s="1474" t="s">
        <v>0</v>
      </c>
      <c r="Q61" s="1474" t="s">
        <v>2</v>
      </c>
      <c r="R61" s="1474" t="s">
        <v>3</v>
      </c>
      <c r="S61" s="1474" t="s">
        <v>4</v>
      </c>
      <c r="T61" s="1474" t="s">
        <v>20</v>
      </c>
    </row>
    <row r="62" spans="1:20" s="258" customFormat="1" ht="15" hidden="1" customHeight="1" x14ac:dyDescent="0.25">
      <c r="B62" s="1476" t="str">
        <f>'1. Building Information'!B67</f>
        <v>General Office</v>
      </c>
      <c r="C62" s="1734" t="str">
        <f>IF('1. Building Information'!C67:D67="","",'1. Building Information'!C67:D67)</f>
        <v/>
      </c>
      <c r="D62" s="1735"/>
      <c r="E62" s="1451">
        <f>IF('1. Building Information'!F67="",0,'1. Building Information'!F67)</f>
        <v>0</v>
      </c>
      <c r="F62" s="839" t="s">
        <v>72</v>
      </c>
      <c r="G62" s="1451" t="str">
        <f>IF(F62="No",0,IF('1. Building Information'!E67="","",'1. Building Information'!E67))</f>
        <v/>
      </c>
      <c r="H62" s="1477">
        <f>IF($G62="",0,IF(G62=365,31,$G62/12))</f>
        <v>0</v>
      </c>
      <c r="I62" s="1477">
        <f t="shared" ref="I62:I77" si="5">IF($G62="",0,IF(G62=365,28,$G62/12))</f>
        <v>0</v>
      </c>
      <c r="J62" s="1477">
        <f t="shared" ref="J62:J77" si="6">IF($G62="",0,IF(G62=365,31,$G62/12))</f>
        <v>0</v>
      </c>
      <c r="K62" s="1477">
        <f t="shared" ref="K62:K77" si="7">IF($G62="",0,IF(G62=365,30,$G62/12))</f>
        <v>0</v>
      </c>
      <c r="L62" s="1477">
        <f t="shared" ref="L62:L77" si="8">IF($G62="",0,IF(G62=365,31,$G62/12))</f>
        <v>0</v>
      </c>
      <c r="M62" s="1477">
        <f t="shared" ref="M62:M77" si="9">IF($G62="",0,IF(G62=365,30,$G62/12))</f>
        <v>0</v>
      </c>
      <c r="N62" s="1477">
        <f t="shared" ref="N62:N77" si="10">IF($G62="",0,IF(G62=365,31,$G62/12))</f>
        <v>0</v>
      </c>
      <c r="O62" s="1477">
        <f t="shared" ref="O62:O77" si="11">IF($G62="",0,IF(G62=365,31,$G62/12))</f>
        <v>0</v>
      </c>
      <c r="P62" s="1477">
        <f t="shared" ref="P62:P77" si="12">IF($G62="",0,IF(G62=365,30,$G62/12))</f>
        <v>0</v>
      </c>
      <c r="Q62" s="1477">
        <f t="shared" ref="Q62:Q77" si="13">IF($G62="",0,IF(G62=365,31,$G62/12))</f>
        <v>0</v>
      </c>
      <c r="R62" s="1477">
        <f t="shared" ref="R62:R77" si="14">IF($G62="",0,IF(G62=365,30,$G62/12))</f>
        <v>0</v>
      </c>
      <c r="S62" s="1477">
        <f t="shared" ref="S62:S77" si="15">IF($G62="",0,IF(G62=365,31,$G62/12))</f>
        <v>0</v>
      </c>
      <c r="T62" s="1478">
        <f>SUM(H62:S62)</f>
        <v>0</v>
      </c>
    </row>
    <row r="63" spans="1:20" s="258" customFormat="1" ht="15" hidden="1" customHeight="1" x14ac:dyDescent="0.25">
      <c r="B63" s="1476" t="str">
        <f>'1. Building Information'!B68</f>
        <v>Retail, general</v>
      </c>
      <c r="C63" s="1734" t="str">
        <f>IF('1. Building Information'!C68:D68="","",'1. Building Information'!C68:D68)</f>
        <v/>
      </c>
      <c r="D63" s="1735"/>
      <c r="E63" s="1451">
        <f>IF('1. Building Information'!F68="",0,'1. Building Information'!F68)</f>
        <v>0</v>
      </c>
      <c r="F63" s="839" t="s">
        <v>72</v>
      </c>
      <c r="G63" s="1451" t="str">
        <f>IF(F63="No",0,IF('1. Building Information'!E68="","",'1. Building Information'!E68))</f>
        <v/>
      </c>
      <c r="H63" s="1477">
        <f t="shared" ref="H63:H77" si="16">IF($G63="",0,IF(G63=365,31,$G63/12))</f>
        <v>0</v>
      </c>
      <c r="I63" s="1477">
        <f t="shared" si="5"/>
        <v>0</v>
      </c>
      <c r="J63" s="1477">
        <f t="shared" si="6"/>
        <v>0</v>
      </c>
      <c r="K63" s="1477">
        <f t="shared" si="7"/>
        <v>0</v>
      </c>
      <c r="L63" s="1477">
        <f t="shared" si="8"/>
        <v>0</v>
      </c>
      <c r="M63" s="1477">
        <f t="shared" si="9"/>
        <v>0</v>
      </c>
      <c r="N63" s="1477">
        <f t="shared" si="10"/>
        <v>0</v>
      </c>
      <c r="O63" s="1477">
        <f t="shared" si="11"/>
        <v>0</v>
      </c>
      <c r="P63" s="1477">
        <f t="shared" si="12"/>
        <v>0</v>
      </c>
      <c r="Q63" s="1477">
        <f t="shared" si="13"/>
        <v>0</v>
      </c>
      <c r="R63" s="1477">
        <f t="shared" si="14"/>
        <v>0</v>
      </c>
      <c r="S63" s="1477">
        <f t="shared" si="15"/>
        <v>0</v>
      </c>
      <c r="T63" s="1478">
        <f t="shared" ref="T63:T77" si="17">SUM(H63:S63)</f>
        <v>0</v>
      </c>
    </row>
    <row r="64" spans="1:20" s="258" customFormat="1" ht="15" hidden="1" customHeight="1" x14ac:dyDescent="0.25">
      <c r="B64" s="1476" t="str">
        <f>'1. Building Information'!B69</f>
        <v>Service (e.g. financial, auto)</v>
      </c>
      <c r="C64" s="1734" t="str">
        <f>IF('1. Building Information'!C69:D69="","",'1. Building Information'!C69:D69)</f>
        <v/>
      </c>
      <c r="D64" s="1735"/>
      <c r="E64" s="1451">
        <f>IF('1. Building Information'!F69="",0,'1. Building Information'!F69)</f>
        <v>0</v>
      </c>
      <c r="F64" s="839" t="s">
        <v>72</v>
      </c>
      <c r="G64" s="1451" t="str">
        <f>IF(F64="No",0,IF('1. Building Information'!E69="","",'1. Building Information'!E69))</f>
        <v/>
      </c>
      <c r="H64" s="1477">
        <f t="shared" si="16"/>
        <v>0</v>
      </c>
      <c r="I64" s="1477">
        <f t="shared" si="5"/>
        <v>0</v>
      </c>
      <c r="J64" s="1477">
        <f t="shared" si="6"/>
        <v>0</v>
      </c>
      <c r="K64" s="1477">
        <f t="shared" si="7"/>
        <v>0</v>
      </c>
      <c r="L64" s="1477">
        <f t="shared" si="8"/>
        <v>0</v>
      </c>
      <c r="M64" s="1477">
        <f t="shared" si="9"/>
        <v>0</v>
      </c>
      <c r="N64" s="1477">
        <f t="shared" si="10"/>
        <v>0</v>
      </c>
      <c r="O64" s="1477">
        <f t="shared" si="11"/>
        <v>0</v>
      </c>
      <c r="P64" s="1477">
        <f t="shared" si="12"/>
        <v>0</v>
      </c>
      <c r="Q64" s="1477">
        <f t="shared" si="13"/>
        <v>0</v>
      </c>
      <c r="R64" s="1477">
        <f t="shared" si="14"/>
        <v>0</v>
      </c>
      <c r="S64" s="1477">
        <f t="shared" si="15"/>
        <v>0</v>
      </c>
      <c r="T64" s="1478">
        <f t="shared" si="17"/>
        <v>0</v>
      </c>
    </row>
    <row r="65" spans="2:20" s="258" customFormat="1" ht="15" hidden="1" customHeight="1" x14ac:dyDescent="0.25">
      <c r="B65" s="1476" t="str">
        <f>'1. Building Information'!B70</f>
        <v>Restaurant</v>
      </c>
      <c r="C65" s="1734" t="str">
        <f>IF('1. Building Information'!C70:D70="","",'1. Building Information'!C70:D70)</f>
        <v/>
      </c>
      <c r="D65" s="1735"/>
      <c r="E65" s="1451">
        <f>IF('1. Building Information'!F70="",0,'1. Building Information'!F70)</f>
        <v>0</v>
      </c>
      <c r="F65" s="839" t="s">
        <v>72</v>
      </c>
      <c r="G65" s="1451" t="str">
        <f>IF(F65="No",0,IF('1. Building Information'!E70="","",'1. Building Information'!E70))</f>
        <v/>
      </c>
      <c r="H65" s="1477">
        <f t="shared" si="16"/>
        <v>0</v>
      </c>
      <c r="I65" s="1477">
        <f t="shared" si="5"/>
        <v>0</v>
      </c>
      <c r="J65" s="1477">
        <f t="shared" si="6"/>
        <v>0</v>
      </c>
      <c r="K65" s="1477">
        <f t="shared" si="7"/>
        <v>0</v>
      </c>
      <c r="L65" s="1477">
        <f t="shared" si="8"/>
        <v>0</v>
      </c>
      <c r="M65" s="1477">
        <f t="shared" si="9"/>
        <v>0</v>
      </c>
      <c r="N65" s="1477">
        <f t="shared" si="10"/>
        <v>0</v>
      </c>
      <c r="O65" s="1477">
        <f t="shared" si="11"/>
        <v>0</v>
      </c>
      <c r="P65" s="1477">
        <f t="shared" si="12"/>
        <v>0</v>
      </c>
      <c r="Q65" s="1477">
        <f t="shared" si="13"/>
        <v>0</v>
      </c>
      <c r="R65" s="1477">
        <f t="shared" si="14"/>
        <v>0</v>
      </c>
      <c r="S65" s="1477">
        <f t="shared" si="15"/>
        <v>0</v>
      </c>
      <c r="T65" s="1478">
        <f t="shared" si="17"/>
        <v>0</v>
      </c>
    </row>
    <row r="66" spans="2:20" s="258" customFormat="1" ht="15" hidden="1" customHeight="1" x14ac:dyDescent="0.25">
      <c r="B66" s="1476" t="str">
        <f>'1. Building Information'!B71</f>
        <v>Grocery store</v>
      </c>
      <c r="C66" s="1734" t="str">
        <f>IF('1. Building Information'!C71:D71="","",'1. Building Information'!C71:D71)</f>
        <v/>
      </c>
      <c r="D66" s="1735"/>
      <c r="E66" s="1451">
        <f>IF('1. Building Information'!F71="",0,'1. Building Information'!F71)</f>
        <v>0</v>
      </c>
      <c r="F66" s="839" t="s">
        <v>72</v>
      </c>
      <c r="G66" s="1451" t="str">
        <f>IF(F66="No",0,IF('1. Building Information'!E71="","",'1. Building Information'!E71))</f>
        <v/>
      </c>
      <c r="H66" s="1477">
        <f t="shared" si="16"/>
        <v>0</v>
      </c>
      <c r="I66" s="1477">
        <f t="shared" si="5"/>
        <v>0</v>
      </c>
      <c r="J66" s="1477">
        <f t="shared" si="6"/>
        <v>0</v>
      </c>
      <c r="K66" s="1477">
        <f t="shared" si="7"/>
        <v>0</v>
      </c>
      <c r="L66" s="1477">
        <f t="shared" si="8"/>
        <v>0</v>
      </c>
      <c r="M66" s="1477">
        <f t="shared" si="9"/>
        <v>0</v>
      </c>
      <c r="N66" s="1477">
        <f t="shared" si="10"/>
        <v>0</v>
      </c>
      <c r="O66" s="1477">
        <f t="shared" si="11"/>
        <v>0</v>
      </c>
      <c r="P66" s="1477">
        <f t="shared" si="12"/>
        <v>0</v>
      </c>
      <c r="Q66" s="1477">
        <f t="shared" si="13"/>
        <v>0</v>
      </c>
      <c r="R66" s="1477">
        <f t="shared" si="14"/>
        <v>0</v>
      </c>
      <c r="S66" s="1477">
        <f t="shared" si="15"/>
        <v>0</v>
      </c>
      <c r="T66" s="1478">
        <f t="shared" si="17"/>
        <v>0</v>
      </c>
    </row>
    <row r="67" spans="2:20" s="258" customFormat="1" ht="15" hidden="1" customHeight="1" x14ac:dyDescent="0.25">
      <c r="B67" s="1476" t="str">
        <f>'1. Building Information'!B72</f>
        <v>Medical office</v>
      </c>
      <c r="C67" s="1734" t="str">
        <f>IF('1. Building Information'!C72:D72="","",'1. Building Information'!C72:D72)</f>
        <v/>
      </c>
      <c r="D67" s="1735"/>
      <c r="E67" s="1451">
        <f>IF('1. Building Information'!F72="",0,'1. Building Information'!F72)</f>
        <v>0</v>
      </c>
      <c r="F67" s="839" t="s">
        <v>72</v>
      </c>
      <c r="G67" s="1451" t="str">
        <f>IF(F67="No",0,IF('1. Building Information'!E72="","",'1. Building Information'!E72))</f>
        <v/>
      </c>
      <c r="H67" s="1477">
        <f t="shared" si="16"/>
        <v>0</v>
      </c>
      <c r="I67" s="1477">
        <f t="shared" si="5"/>
        <v>0</v>
      </c>
      <c r="J67" s="1477">
        <f t="shared" si="6"/>
        <v>0</v>
      </c>
      <c r="K67" s="1477">
        <f t="shared" si="7"/>
        <v>0</v>
      </c>
      <c r="L67" s="1477">
        <f t="shared" si="8"/>
        <v>0</v>
      </c>
      <c r="M67" s="1477">
        <f t="shared" si="9"/>
        <v>0</v>
      </c>
      <c r="N67" s="1477">
        <f t="shared" si="10"/>
        <v>0</v>
      </c>
      <c r="O67" s="1477">
        <f t="shared" si="11"/>
        <v>0</v>
      </c>
      <c r="P67" s="1477">
        <f t="shared" si="12"/>
        <v>0</v>
      </c>
      <c r="Q67" s="1477">
        <f t="shared" si="13"/>
        <v>0</v>
      </c>
      <c r="R67" s="1477">
        <f t="shared" si="14"/>
        <v>0</v>
      </c>
      <c r="S67" s="1477">
        <f t="shared" si="15"/>
        <v>0</v>
      </c>
      <c r="T67" s="1478">
        <f t="shared" si="17"/>
        <v>0</v>
      </c>
    </row>
    <row r="68" spans="2:20" s="258" customFormat="1" ht="15" hidden="1" customHeight="1" x14ac:dyDescent="0.25">
      <c r="B68" s="1476" t="str">
        <f>'1. Building Information'!B73</f>
        <v>R&amp;D or laboratory</v>
      </c>
      <c r="C68" s="1734" t="str">
        <f>IF('1. Building Information'!C73:D73="","",'1. Building Information'!C73:D73)</f>
        <v/>
      </c>
      <c r="D68" s="1735"/>
      <c r="E68" s="1451">
        <f>IF('1. Building Information'!F73="",0,'1. Building Information'!F73)</f>
        <v>0</v>
      </c>
      <c r="F68" s="839" t="s">
        <v>72</v>
      </c>
      <c r="G68" s="1451" t="str">
        <f>IF(F68="No",0,IF('1. Building Information'!E73="","",'1. Building Information'!E73))</f>
        <v/>
      </c>
      <c r="H68" s="1477">
        <f t="shared" si="16"/>
        <v>0</v>
      </c>
      <c r="I68" s="1477">
        <f t="shared" si="5"/>
        <v>0</v>
      </c>
      <c r="J68" s="1477">
        <f t="shared" si="6"/>
        <v>0</v>
      </c>
      <c r="K68" s="1477">
        <f t="shared" si="7"/>
        <v>0</v>
      </c>
      <c r="L68" s="1477">
        <f t="shared" si="8"/>
        <v>0</v>
      </c>
      <c r="M68" s="1477">
        <f t="shared" si="9"/>
        <v>0</v>
      </c>
      <c r="N68" s="1477">
        <f t="shared" si="10"/>
        <v>0</v>
      </c>
      <c r="O68" s="1477">
        <f t="shared" si="11"/>
        <v>0</v>
      </c>
      <c r="P68" s="1477">
        <f t="shared" si="12"/>
        <v>0</v>
      </c>
      <c r="Q68" s="1477">
        <f t="shared" si="13"/>
        <v>0</v>
      </c>
      <c r="R68" s="1477">
        <f t="shared" si="14"/>
        <v>0</v>
      </c>
      <c r="S68" s="1477">
        <f t="shared" si="15"/>
        <v>0</v>
      </c>
      <c r="T68" s="1478">
        <f t="shared" si="17"/>
        <v>0</v>
      </c>
    </row>
    <row r="69" spans="2:20" s="258" customFormat="1" ht="15" hidden="1" customHeight="1" x14ac:dyDescent="0.25">
      <c r="B69" s="1476" t="str">
        <f>'1. Building Information'!B74</f>
        <v>Warehouse, distribution</v>
      </c>
      <c r="C69" s="1734" t="str">
        <f>IF('1. Building Information'!C74:D74="","",'1. Building Information'!C74:D74)</f>
        <v/>
      </c>
      <c r="D69" s="1735"/>
      <c r="E69" s="1451">
        <f>IF('1. Building Information'!F74="",0,'1. Building Information'!F74)</f>
        <v>0</v>
      </c>
      <c r="F69" s="839" t="s">
        <v>72</v>
      </c>
      <c r="G69" s="1451" t="str">
        <f>IF(F69="No",0,IF('1. Building Information'!E74="","",'1. Building Information'!E74))</f>
        <v/>
      </c>
      <c r="H69" s="1477">
        <f t="shared" si="16"/>
        <v>0</v>
      </c>
      <c r="I69" s="1477">
        <f t="shared" si="5"/>
        <v>0</v>
      </c>
      <c r="J69" s="1477">
        <f t="shared" si="6"/>
        <v>0</v>
      </c>
      <c r="K69" s="1477">
        <f t="shared" si="7"/>
        <v>0</v>
      </c>
      <c r="L69" s="1477">
        <f t="shared" si="8"/>
        <v>0</v>
      </c>
      <c r="M69" s="1477">
        <f t="shared" si="9"/>
        <v>0</v>
      </c>
      <c r="N69" s="1477">
        <f t="shared" si="10"/>
        <v>0</v>
      </c>
      <c r="O69" s="1477">
        <f t="shared" si="11"/>
        <v>0</v>
      </c>
      <c r="P69" s="1477">
        <f t="shared" si="12"/>
        <v>0</v>
      </c>
      <c r="Q69" s="1477">
        <f t="shared" si="13"/>
        <v>0</v>
      </c>
      <c r="R69" s="1477">
        <f t="shared" si="14"/>
        <v>0</v>
      </c>
      <c r="S69" s="1477">
        <f t="shared" si="15"/>
        <v>0</v>
      </c>
      <c r="T69" s="1478">
        <f t="shared" si="17"/>
        <v>0</v>
      </c>
    </row>
    <row r="70" spans="2:20" s="258" customFormat="1" ht="15" hidden="1" customHeight="1" x14ac:dyDescent="0.25">
      <c r="B70" s="1476" t="str">
        <f>'1. Building Information'!B75</f>
        <v>Warehouse, storage</v>
      </c>
      <c r="C70" s="1734" t="str">
        <f>IF('1. Building Information'!C75:D75="","",'1. Building Information'!C75:D75)</f>
        <v/>
      </c>
      <c r="D70" s="1735"/>
      <c r="E70" s="1451">
        <f>IF('1. Building Information'!F75="",0,'1. Building Information'!F75)</f>
        <v>0</v>
      </c>
      <c r="F70" s="839" t="s">
        <v>72</v>
      </c>
      <c r="G70" s="1451" t="str">
        <f>IF(F70="No",0,IF('1. Building Information'!E75="","",'1. Building Information'!E75))</f>
        <v/>
      </c>
      <c r="H70" s="1477">
        <f t="shared" si="16"/>
        <v>0</v>
      </c>
      <c r="I70" s="1477">
        <f t="shared" si="5"/>
        <v>0</v>
      </c>
      <c r="J70" s="1477">
        <f t="shared" si="6"/>
        <v>0</v>
      </c>
      <c r="K70" s="1477">
        <f t="shared" si="7"/>
        <v>0</v>
      </c>
      <c r="L70" s="1477">
        <f t="shared" si="8"/>
        <v>0</v>
      </c>
      <c r="M70" s="1477">
        <f t="shared" si="9"/>
        <v>0</v>
      </c>
      <c r="N70" s="1477">
        <f t="shared" si="10"/>
        <v>0</v>
      </c>
      <c r="O70" s="1477">
        <f t="shared" si="11"/>
        <v>0</v>
      </c>
      <c r="P70" s="1477">
        <f t="shared" si="12"/>
        <v>0</v>
      </c>
      <c r="Q70" s="1477">
        <f t="shared" si="13"/>
        <v>0</v>
      </c>
      <c r="R70" s="1477">
        <f t="shared" si="14"/>
        <v>0</v>
      </c>
      <c r="S70" s="1477">
        <f t="shared" si="15"/>
        <v>0</v>
      </c>
      <c r="T70" s="1478">
        <f t="shared" si="17"/>
        <v>0</v>
      </c>
    </row>
    <row r="71" spans="2:20" s="258" customFormat="1" ht="15" hidden="1" customHeight="1" x14ac:dyDescent="0.25">
      <c r="B71" s="1476" t="str">
        <f>'1. Building Information'!B76</f>
        <v>Educational, daycare</v>
      </c>
      <c r="C71" s="1734" t="str">
        <f>IF('1. Building Information'!C76:D76="","",'1. Building Information'!C76:D76)</f>
        <v/>
      </c>
      <c r="D71" s="1735"/>
      <c r="E71" s="1451">
        <f>IF('1. Building Information'!F76="",0,'1. Building Information'!F76)</f>
        <v>0</v>
      </c>
      <c r="F71" s="839" t="s">
        <v>72</v>
      </c>
      <c r="G71" s="1451" t="str">
        <f>IF(F71="No",0,IF('1. Building Information'!E76="","",'1. Building Information'!E76))</f>
        <v/>
      </c>
      <c r="H71" s="1477">
        <f t="shared" si="16"/>
        <v>0</v>
      </c>
      <c r="I71" s="1477">
        <f t="shared" si="5"/>
        <v>0</v>
      </c>
      <c r="J71" s="1477">
        <f t="shared" si="6"/>
        <v>0</v>
      </c>
      <c r="K71" s="1477">
        <f t="shared" si="7"/>
        <v>0</v>
      </c>
      <c r="L71" s="1477">
        <f t="shared" si="8"/>
        <v>0</v>
      </c>
      <c r="M71" s="1477">
        <f t="shared" si="9"/>
        <v>0</v>
      </c>
      <c r="N71" s="1477">
        <f t="shared" si="10"/>
        <v>0</v>
      </c>
      <c r="O71" s="1477">
        <f t="shared" si="11"/>
        <v>0</v>
      </c>
      <c r="P71" s="1477">
        <f t="shared" si="12"/>
        <v>0</v>
      </c>
      <c r="Q71" s="1477">
        <f t="shared" si="13"/>
        <v>0</v>
      </c>
      <c r="R71" s="1477">
        <f t="shared" si="14"/>
        <v>0</v>
      </c>
      <c r="S71" s="1477">
        <f t="shared" si="15"/>
        <v>0</v>
      </c>
      <c r="T71" s="1478">
        <f t="shared" si="17"/>
        <v>0</v>
      </c>
    </row>
    <row r="72" spans="2:20" s="258" customFormat="1" ht="15" hidden="1" customHeight="1" x14ac:dyDescent="0.25">
      <c r="B72" s="1476" t="str">
        <f>'1. Building Information'!B77</f>
        <v>Educational, K-12</v>
      </c>
      <c r="C72" s="1734" t="str">
        <f>IF('1. Building Information'!C77:D77="","",'1. Building Information'!C77:D77)</f>
        <v/>
      </c>
      <c r="D72" s="1735"/>
      <c r="E72" s="1451">
        <f>IF('1. Building Information'!F77="",0,'1. Building Information'!F77)</f>
        <v>0</v>
      </c>
      <c r="F72" s="839" t="s">
        <v>72</v>
      </c>
      <c r="G72" s="1451" t="str">
        <f>IF(F72="No",0,IF('1. Building Information'!E77="","",'1. Building Information'!E77))</f>
        <v/>
      </c>
      <c r="H72" s="1477">
        <f t="shared" si="16"/>
        <v>0</v>
      </c>
      <c r="I72" s="1477">
        <f t="shared" si="5"/>
        <v>0</v>
      </c>
      <c r="J72" s="1477">
        <f t="shared" si="6"/>
        <v>0</v>
      </c>
      <c r="K72" s="1477">
        <f t="shared" si="7"/>
        <v>0</v>
      </c>
      <c r="L72" s="1477">
        <f t="shared" si="8"/>
        <v>0</v>
      </c>
      <c r="M72" s="1477">
        <f t="shared" si="9"/>
        <v>0</v>
      </c>
      <c r="N72" s="1477">
        <f t="shared" si="10"/>
        <v>0</v>
      </c>
      <c r="O72" s="1477">
        <f t="shared" si="11"/>
        <v>0</v>
      </c>
      <c r="P72" s="1477">
        <f t="shared" si="12"/>
        <v>0</v>
      </c>
      <c r="Q72" s="1477">
        <f t="shared" si="13"/>
        <v>0</v>
      </c>
      <c r="R72" s="1477">
        <f t="shared" si="14"/>
        <v>0</v>
      </c>
      <c r="S72" s="1477">
        <f t="shared" si="15"/>
        <v>0</v>
      </c>
      <c r="T72" s="1478">
        <f t="shared" si="17"/>
        <v>0</v>
      </c>
    </row>
    <row r="73" spans="2:20" s="258" customFormat="1" ht="15" hidden="1" customHeight="1" x14ac:dyDescent="0.25">
      <c r="B73" s="1476" t="str">
        <f>'1. Building Information'!B78</f>
        <v>Educational, postsecondary</v>
      </c>
      <c r="C73" s="1734" t="str">
        <f>IF('1. Building Information'!C78:D78="","",'1. Building Information'!C78:D78)</f>
        <v/>
      </c>
      <c r="D73" s="1735"/>
      <c r="E73" s="1451">
        <f>IF('1. Building Information'!F78="",0,'1. Building Information'!F78)</f>
        <v>0</v>
      </c>
      <c r="F73" s="839" t="s">
        <v>72</v>
      </c>
      <c r="G73" s="1451" t="str">
        <f>IF(F73="No",0,IF('1. Building Information'!E78="","",'1. Building Information'!E78))</f>
        <v/>
      </c>
      <c r="H73" s="1477">
        <f t="shared" si="16"/>
        <v>0</v>
      </c>
      <c r="I73" s="1477">
        <f t="shared" si="5"/>
        <v>0</v>
      </c>
      <c r="J73" s="1477">
        <f t="shared" si="6"/>
        <v>0</v>
      </c>
      <c r="K73" s="1477">
        <f t="shared" si="7"/>
        <v>0</v>
      </c>
      <c r="L73" s="1477">
        <f t="shared" si="8"/>
        <v>0</v>
      </c>
      <c r="M73" s="1477">
        <f t="shared" si="9"/>
        <v>0</v>
      </c>
      <c r="N73" s="1477">
        <f t="shared" si="10"/>
        <v>0</v>
      </c>
      <c r="O73" s="1477">
        <f t="shared" si="11"/>
        <v>0</v>
      </c>
      <c r="P73" s="1477">
        <f t="shared" si="12"/>
        <v>0</v>
      </c>
      <c r="Q73" s="1477">
        <f t="shared" si="13"/>
        <v>0</v>
      </c>
      <c r="R73" s="1477">
        <f t="shared" si="14"/>
        <v>0</v>
      </c>
      <c r="S73" s="1477">
        <f t="shared" si="15"/>
        <v>0</v>
      </c>
      <c r="T73" s="1478">
        <f t="shared" si="17"/>
        <v>0</v>
      </c>
    </row>
    <row r="74" spans="2:20" s="258" customFormat="1" ht="15" hidden="1" customHeight="1" x14ac:dyDescent="0.25">
      <c r="B74" s="1476" t="str">
        <f>'1. Building Information'!B79</f>
        <v>Other &lt;Please Specify&gt;</v>
      </c>
      <c r="C74" s="1734" t="str">
        <f>IF('1. Building Information'!C79:D79="","",'1. Building Information'!C79:D79)</f>
        <v/>
      </c>
      <c r="D74" s="1735"/>
      <c r="E74" s="1451">
        <f>IF('1. Building Information'!F79="",0,'1. Building Information'!F79)</f>
        <v>0</v>
      </c>
      <c r="F74" s="839" t="s">
        <v>72</v>
      </c>
      <c r="G74" s="1451" t="str">
        <f>IF(F74="No",0,IF('1. Building Information'!E79="","",'1. Building Information'!E79))</f>
        <v/>
      </c>
      <c r="H74" s="1477">
        <f t="shared" si="16"/>
        <v>0</v>
      </c>
      <c r="I74" s="1477">
        <f t="shared" si="5"/>
        <v>0</v>
      </c>
      <c r="J74" s="1477">
        <f t="shared" si="6"/>
        <v>0</v>
      </c>
      <c r="K74" s="1477">
        <f t="shared" si="7"/>
        <v>0</v>
      </c>
      <c r="L74" s="1477">
        <f t="shared" si="8"/>
        <v>0</v>
      </c>
      <c r="M74" s="1477">
        <f t="shared" si="9"/>
        <v>0</v>
      </c>
      <c r="N74" s="1477">
        <f t="shared" si="10"/>
        <v>0</v>
      </c>
      <c r="O74" s="1477">
        <f t="shared" si="11"/>
        <v>0</v>
      </c>
      <c r="P74" s="1477">
        <f t="shared" si="12"/>
        <v>0</v>
      </c>
      <c r="Q74" s="1477">
        <f t="shared" si="13"/>
        <v>0</v>
      </c>
      <c r="R74" s="1477">
        <f t="shared" si="14"/>
        <v>0</v>
      </c>
      <c r="S74" s="1477">
        <f t="shared" si="15"/>
        <v>0</v>
      </c>
      <c r="T74" s="1478">
        <f t="shared" si="17"/>
        <v>0</v>
      </c>
    </row>
    <row r="75" spans="2:20" s="258" customFormat="1" ht="15" hidden="1" customHeight="1" x14ac:dyDescent="0.25">
      <c r="B75" s="1476" t="str">
        <f>'1. Building Information'!B80</f>
        <v>Other &lt;Please Specify&gt;</v>
      </c>
      <c r="C75" s="1734" t="str">
        <f>IF('1. Building Information'!C80:D80="","",'1. Building Information'!C80:D80)</f>
        <v/>
      </c>
      <c r="D75" s="1735"/>
      <c r="E75" s="1451">
        <f>IF('1. Building Information'!F80="",0,'1. Building Information'!F80)</f>
        <v>0</v>
      </c>
      <c r="F75" s="839" t="s">
        <v>72</v>
      </c>
      <c r="G75" s="1451" t="str">
        <f>IF(F75="No",0,IF('1. Building Information'!E80="","",'1. Building Information'!E80))</f>
        <v/>
      </c>
      <c r="H75" s="1477">
        <f t="shared" si="16"/>
        <v>0</v>
      </c>
      <c r="I75" s="1477">
        <f t="shared" si="5"/>
        <v>0</v>
      </c>
      <c r="J75" s="1477">
        <f t="shared" si="6"/>
        <v>0</v>
      </c>
      <c r="K75" s="1477">
        <f t="shared" si="7"/>
        <v>0</v>
      </c>
      <c r="L75" s="1477">
        <f t="shared" si="8"/>
        <v>0</v>
      </c>
      <c r="M75" s="1477">
        <f t="shared" si="9"/>
        <v>0</v>
      </c>
      <c r="N75" s="1477">
        <f t="shared" si="10"/>
        <v>0</v>
      </c>
      <c r="O75" s="1477">
        <f t="shared" si="11"/>
        <v>0</v>
      </c>
      <c r="P75" s="1477">
        <f t="shared" si="12"/>
        <v>0</v>
      </c>
      <c r="Q75" s="1477">
        <f t="shared" si="13"/>
        <v>0</v>
      </c>
      <c r="R75" s="1477">
        <f t="shared" si="14"/>
        <v>0</v>
      </c>
      <c r="S75" s="1477">
        <f t="shared" si="15"/>
        <v>0</v>
      </c>
      <c r="T75" s="1478">
        <f t="shared" si="17"/>
        <v>0</v>
      </c>
    </row>
    <row r="76" spans="2:20" s="258" customFormat="1" ht="15" hidden="1" customHeight="1" x14ac:dyDescent="0.25">
      <c r="B76" s="1476" t="str">
        <f>'1. Building Information'!B81</f>
        <v>Other &lt;Please Specify&gt;</v>
      </c>
      <c r="C76" s="1734"/>
      <c r="D76" s="1735"/>
      <c r="E76" s="1451">
        <f>IF('1. Building Information'!F81="",0,'1. Building Information'!F81)</f>
        <v>0</v>
      </c>
      <c r="F76" s="839" t="s">
        <v>72</v>
      </c>
      <c r="G76" s="1451" t="str">
        <f>IF(F76="No",0,IF('1. Building Information'!E81="","",'1. Building Information'!E81))</f>
        <v/>
      </c>
      <c r="H76" s="1477">
        <f t="shared" si="16"/>
        <v>0</v>
      </c>
      <c r="I76" s="1477">
        <f t="shared" si="5"/>
        <v>0</v>
      </c>
      <c r="J76" s="1477">
        <f t="shared" si="6"/>
        <v>0</v>
      </c>
      <c r="K76" s="1477">
        <f t="shared" si="7"/>
        <v>0</v>
      </c>
      <c r="L76" s="1477">
        <f t="shared" si="8"/>
        <v>0</v>
      </c>
      <c r="M76" s="1477">
        <f t="shared" si="9"/>
        <v>0</v>
      </c>
      <c r="N76" s="1477">
        <f t="shared" si="10"/>
        <v>0</v>
      </c>
      <c r="O76" s="1477">
        <f t="shared" si="11"/>
        <v>0</v>
      </c>
      <c r="P76" s="1477">
        <f t="shared" si="12"/>
        <v>0</v>
      </c>
      <c r="Q76" s="1477">
        <f t="shared" si="13"/>
        <v>0</v>
      </c>
      <c r="R76" s="1477">
        <f t="shared" si="14"/>
        <v>0</v>
      </c>
      <c r="S76" s="1477">
        <f t="shared" si="15"/>
        <v>0</v>
      </c>
      <c r="T76" s="1478">
        <f t="shared" si="17"/>
        <v>0</v>
      </c>
    </row>
    <row r="77" spans="2:20" s="258" customFormat="1" ht="15.75" hidden="1" customHeight="1" thickBot="1" x14ac:dyDescent="0.3">
      <c r="B77" s="1479" t="s">
        <v>411</v>
      </c>
      <c r="C77" s="1734" t="s">
        <v>412</v>
      </c>
      <c r="D77" s="1735"/>
      <c r="E77" s="1451">
        <f>IF('1. Building Information'!C91="",0,'1. Building Information'!C91)</f>
        <v>0</v>
      </c>
      <c r="F77" s="839" t="s">
        <v>72</v>
      </c>
      <c r="G77" s="1451">
        <f>IF(F77="Yes",'1. Building Information'!C93,0)</f>
        <v>365</v>
      </c>
      <c r="H77" s="1480">
        <f t="shared" si="16"/>
        <v>31</v>
      </c>
      <c r="I77" s="1480">
        <f t="shared" si="5"/>
        <v>28</v>
      </c>
      <c r="J77" s="1480">
        <f t="shared" si="6"/>
        <v>31</v>
      </c>
      <c r="K77" s="1480">
        <f t="shared" si="7"/>
        <v>30</v>
      </c>
      <c r="L77" s="1480">
        <f t="shared" si="8"/>
        <v>31</v>
      </c>
      <c r="M77" s="1480">
        <f t="shared" si="9"/>
        <v>30</v>
      </c>
      <c r="N77" s="1480">
        <f t="shared" si="10"/>
        <v>31</v>
      </c>
      <c r="O77" s="1480">
        <f t="shared" si="11"/>
        <v>31</v>
      </c>
      <c r="P77" s="1480">
        <f t="shared" si="12"/>
        <v>30</v>
      </c>
      <c r="Q77" s="1480">
        <f t="shared" si="13"/>
        <v>31</v>
      </c>
      <c r="R77" s="1480">
        <f t="shared" si="14"/>
        <v>30</v>
      </c>
      <c r="S77" s="1480">
        <f t="shared" si="15"/>
        <v>31</v>
      </c>
      <c r="T77" s="1481">
        <f t="shared" si="17"/>
        <v>365</v>
      </c>
    </row>
    <row r="78" spans="2:20" s="258" customFormat="1" ht="15.75" hidden="1" customHeight="1" thickTop="1" x14ac:dyDescent="0.25">
      <c r="B78" s="1482"/>
      <c r="C78" s="1483"/>
      <c r="D78" s="1483"/>
      <c r="E78" s="1483"/>
      <c r="F78" s="393"/>
      <c r="G78" s="1484" t="s">
        <v>480</v>
      </c>
      <c r="H78" s="1485">
        <f>IF(SUM($G$62:$G$77)=0,0,AVERAGEIF(H62:H77,"&gt;0"))</f>
        <v>31</v>
      </c>
      <c r="I78" s="1485">
        <f t="shared" ref="I78:S78" si="18">IF(SUM($G$62:$G$77)=0,0,AVERAGEIF(I62:I77,"&gt;0"))</f>
        <v>28</v>
      </c>
      <c r="J78" s="1485">
        <f t="shared" si="18"/>
        <v>31</v>
      </c>
      <c r="K78" s="1485">
        <f t="shared" si="18"/>
        <v>30</v>
      </c>
      <c r="L78" s="1485">
        <f t="shared" si="18"/>
        <v>31</v>
      </c>
      <c r="M78" s="1485">
        <f t="shared" si="18"/>
        <v>30</v>
      </c>
      <c r="N78" s="1485">
        <f t="shared" si="18"/>
        <v>31</v>
      </c>
      <c r="O78" s="1485">
        <f t="shared" si="18"/>
        <v>31</v>
      </c>
      <c r="P78" s="1485">
        <f t="shared" si="18"/>
        <v>30</v>
      </c>
      <c r="Q78" s="1485">
        <f t="shared" si="18"/>
        <v>31</v>
      </c>
      <c r="R78" s="1485">
        <f t="shared" si="18"/>
        <v>30</v>
      </c>
      <c r="S78" s="1485">
        <f t="shared" si="18"/>
        <v>31</v>
      </c>
      <c r="T78" s="1485"/>
    </row>
    <row r="79" spans="2:20" s="258" customFormat="1" ht="15" hidden="1" customHeight="1" x14ac:dyDescent="0.25">
      <c r="B79" s="759"/>
      <c r="C79" s="403"/>
      <c r="D79" s="259"/>
      <c r="E79" s="259"/>
      <c r="G79" s="1409" t="s">
        <v>166</v>
      </c>
      <c r="H79" s="239">
        <f>(H60)*(($E62*H62)+($E63*H63)+($E64*H64)+($E65*H65)+($E66*H66)+($E67*H67)+($E68*H68)+($E69*H69)+($E70*H70)+($E71*H71)+($E72*H72)+($E73*H73)+($E74*H74)+($E75*H75)+($E76*H76)+($E77*H77))</f>
        <v>0</v>
      </c>
      <c r="I79" s="239">
        <f t="shared" ref="I79:S79" si="19">(I60)*(($E62*I62)+($E63*I63)+($E64*I64)+($E65*I65)+($E66*I66)+($E67*I67)+($E68*I68)+($E69*I69)+($E70*I70)+($E71*I71)+($E72*I72)+($E73*I73)+($E74*I74)+($E75*I75)+($E76*I76)+($E77*I77))</f>
        <v>0</v>
      </c>
      <c r="J79" s="239">
        <f t="shared" si="19"/>
        <v>0</v>
      </c>
      <c r="K79" s="239">
        <f t="shared" si="19"/>
        <v>0</v>
      </c>
      <c r="L79" s="239">
        <f t="shared" si="19"/>
        <v>0</v>
      </c>
      <c r="M79" s="239">
        <f t="shared" si="19"/>
        <v>0</v>
      </c>
      <c r="N79" s="239">
        <f t="shared" si="19"/>
        <v>0</v>
      </c>
      <c r="O79" s="239">
        <f t="shared" si="19"/>
        <v>0</v>
      </c>
      <c r="P79" s="239">
        <f t="shared" si="19"/>
        <v>0</v>
      </c>
      <c r="Q79" s="239">
        <f t="shared" si="19"/>
        <v>0</v>
      </c>
      <c r="R79" s="239">
        <f t="shared" si="19"/>
        <v>0</v>
      </c>
      <c r="S79" s="239">
        <f t="shared" si="19"/>
        <v>0</v>
      </c>
      <c r="T79" s="239">
        <f>SUM(H79:S79)</f>
        <v>0</v>
      </c>
    </row>
    <row r="80" spans="2:20" s="258" customFormat="1" ht="15" hidden="1" customHeight="1" x14ac:dyDescent="0.25">
      <c r="B80" s="759"/>
      <c r="C80" s="403"/>
      <c r="D80" s="259"/>
      <c r="E80" s="259"/>
      <c r="G80" s="1409" t="s">
        <v>414</v>
      </c>
      <c r="H80" s="239">
        <f>IF(SUM($G$62:$G$77)=0,0,H79/H78)</f>
        <v>0</v>
      </c>
      <c r="I80" s="239">
        <f t="shared" ref="I80:S80" si="20">IF(SUM($G$62:$G$77)=0,0,I79/I78)</f>
        <v>0</v>
      </c>
      <c r="J80" s="239">
        <f t="shared" si="20"/>
        <v>0</v>
      </c>
      <c r="K80" s="239">
        <f t="shared" si="20"/>
        <v>0</v>
      </c>
      <c r="L80" s="239">
        <f t="shared" si="20"/>
        <v>0</v>
      </c>
      <c r="M80" s="239">
        <f t="shared" si="20"/>
        <v>0</v>
      </c>
      <c r="N80" s="239">
        <f t="shared" si="20"/>
        <v>0</v>
      </c>
      <c r="O80" s="239">
        <f t="shared" si="20"/>
        <v>0</v>
      </c>
      <c r="P80" s="239">
        <f t="shared" si="20"/>
        <v>0</v>
      </c>
      <c r="Q80" s="239">
        <f t="shared" si="20"/>
        <v>0</v>
      </c>
      <c r="R80" s="239">
        <f t="shared" si="20"/>
        <v>0</v>
      </c>
      <c r="S80" s="239">
        <f t="shared" si="20"/>
        <v>0</v>
      </c>
      <c r="T80" s="239">
        <f>IF(SUM(G62:G77)=0,0,T79/(SUM(H78:S78)))</f>
        <v>0</v>
      </c>
    </row>
    <row r="81" spans="2:20" s="258" customFormat="1" ht="15" hidden="1" customHeight="1" x14ac:dyDescent="0.25">
      <c r="B81" s="759"/>
      <c r="C81" s="403"/>
      <c r="D81" s="259"/>
      <c r="E81" s="259"/>
      <c r="G81" s="1409" t="s">
        <v>596</v>
      </c>
      <c r="H81" s="1486">
        <f>F89</f>
        <v>0</v>
      </c>
      <c r="I81" s="1486">
        <f t="shared" ref="I81:S81" si="21">G89</f>
        <v>0</v>
      </c>
      <c r="J81" s="1486">
        <f t="shared" si="21"/>
        <v>0</v>
      </c>
      <c r="K81" s="1486">
        <f t="shared" si="21"/>
        <v>0</v>
      </c>
      <c r="L81" s="1486">
        <f t="shared" si="21"/>
        <v>0</v>
      </c>
      <c r="M81" s="1486">
        <f t="shared" si="21"/>
        <v>0</v>
      </c>
      <c r="N81" s="1486">
        <f t="shared" si="21"/>
        <v>0</v>
      </c>
      <c r="O81" s="1486">
        <f t="shared" si="21"/>
        <v>0</v>
      </c>
      <c r="P81" s="1486">
        <f t="shared" si="21"/>
        <v>0</v>
      </c>
      <c r="Q81" s="1486">
        <f t="shared" si="21"/>
        <v>0</v>
      </c>
      <c r="R81" s="1486">
        <f t="shared" si="21"/>
        <v>0</v>
      </c>
      <c r="S81" s="1486">
        <f t="shared" si="21"/>
        <v>0</v>
      </c>
      <c r="T81" s="239">
        <f>AVERAGE(H81:S81)</f>
        <v>0</v>
      </c>
    </row>
    <row r="82" spans="2:20" s="258" customFormat="1" ht="15" hidden="1" customHeight="1" x14ac:dyDescent="0.25">
      <c r="B82" s="759"/>
      <c r="C82" s="403"/>
      <c r="D82" s="259"/>
      <c r="E82" s="259"/>
      <c r="F82" s="259"/>
      <c r="G82" s="259"/>
      <c r="H82" s="259"/>
      <c r="I82" s="259"/>
      <c r="J82" s="259"/>
      <c r="K82" s="259"/>
      <c r="L82" s="259"/>
      <c r="M82" s="259"/>
      <c r="N82" s="259"/>
      <c r="O82" s="259"/>
      <c r="P82" s="259"/>
    </row>
    <row r="83" spans="2:20" s="258" customFormat="1" ht="15" hidden="1" customHeight="1" x14ac:dyDescent="0.25">
      <c r="B83" s="759"/>
      <c r="C83" s="403"/>
      <c r="D83" s="259"/>
      <c r="E83" s="259"/>
      <c r="F83" s="259"/>
      <c r="G83" s="259"/>
      <c r="H83" s="259"/>
      <c r="I83" s="259"/>
      <c r="J83" s="259"/>
      <c r="K83" s="259"/>
      <c r="L83" s="259"/>
      <c r="M83" s="259"/>
      <c r="N83" s="259"/>
      <c r="O83" s="259"/>
      <c r="P83" s="259"/>
    </row>
    <row r="84" spans="2:20" s="258" customFormat="1" ht="15" hidden="1" customHeight="1" x14ac:dyDescent="0.25">
      <c r="B84" s="759"/>
      <c r="C84" s="403"/>
      <c r="D84" s="259"/>
      <c r="E84" s="259"/>
      <c r="F84" s="259"/>
      <c r="G84" s="259"/>
      <c r="H84" s="259"/>
      <c r="I84" s="259"/>
      <c r="J84" s="259"/>
      <c r="K84" s="259"/>
      <c r="L84" s="259"/>
      <c r="M84" s="259"/>
      <c r="N84" s="259"/>
      <c r="O84" s="259"/>
      <c r="P84" s="259"/>
    </row>
    <row r="85" spans="2:20" s="258" customFormat="1" ht="15" hidden="1" x14ac:dyDescent="0.25">
      <c r="B85" s="759"/>
      <c r="C85" s="403"/>
      <c r="D85" s="259"/>
      <c r="E85" s="259"/>
      <c r="F85" s="259"/>
      <c r="G85" s="259"/>
      <c r="H85" s="259"/>
      <c r="I85" s="259"/>
      <c r="J85" s="259"/>
      <c r="K85" s="259"/>
      <c r="L85" s="259"/>
      <c r="M85" s="259"/>
      <c r="N85" s="259"/>
      <c r="O85" s="259"/>
      <c r="P85" s="259"/>
    </row>
    <row r="86" spans="2:20" s="258" customFormat="1" ht="15" x14ac:dyDescent="0.25">
      <c r="B86" s="319" t="s">
        <v>621</v>
      </c>
      <c r="C86" s="403"/>
      <c r="D86" s="259"/>
      <c r="E86" s="259"/>
      <c r="F86" s="259"/>
      <c r="G86" s="259"/>
      <c r="H86" s="259"/>
      <c r="I86" s="259"/>
      <c r="J86" s="259"/>
      <c r="K86" s="259"/>
      <c r="L86" s="259"/>
      <c r="M86" s="259"/>
      <c r="N86" s="259"/>
      <c r="O86" s="259"/>
      <c r="P86" s="259"/>
    </row>
    <row r="87" spans="2:20" s="258" customFormat="1" ht="15.75" thickBot="1" x14ac:dyDescent="0.3">
      <c r="B87" s="759"/>
      <c r="C87" s="403"/>
      <c r="D87" s="259"/>
      <c r="E87" s="259"/>
      <c r="F87" s="259"/>
      <c r="G87" s="259"/>
      <c r="H87" s="259"/>
      <c r="I87" s="259"/>
      <c r="J87" s="259"/>
      <c r="K87" s="259"/>
      <c r="L87" s="259"/>
      <c r="M87" s="259"/>
      <c r="N87" s="259"/>
      <c r="O87" s="259"/>
      <c r="P87" s="259"/>
    </row>
    <row r="88" spans="2:20" s="258" customFormat="1" ht="15" x14ac:dyDescent="0.25">
      <c r="B88" s="923" t="s">
        <v>563</v>
      </c>
      <c r="C88" s="924"/>
      <c r="D88" s="924"/>
      <c r="E88" s="1290" t="s">
        <v>620</v>
      </c>
      <c r="F88" s="1290" t="s">
        <v>28</v>
      </c>
      <c r="G88" s="1290" t="s">
        <v>29</v>
      </c>
      <c r="H88" s="1290" t="s">
        <v>30</v>
      </c>
      <c r="I88" s="1290" t="s">
        <v>31</v>
      </c>
      <c r="J88" s="1290" t="s">
        <v>32</v>
      </c>
      <c r="K88" s="1290" t="s">
        <v>33</v>
      </c>
      <c r="L88" s="1290" t="s">
        <v>8</v>
      </c>
      <c r="M88" s="1290" t="s">
        <v>9</v>
      </c>
      <c r="N88" s="1290" t="s">
        <v>0</v>
      </c>
      <c r="O88" s="1290" t="s">
        <v>2</v>
      </c>
      <c r="P88" s="1290" t="s">
        <v>3</v>
      </c>
      <c r="Q88" s="1487" t="s">
        <v>4</v>
      </c>
    </row>
    <row r="89" spans="2:20" s="258" customFormat="1" ht="15" x14ac:dyDescent="0.25">
      <c r="B89" s="925"/>
      <c r="C89" s="926"/>
      <c r="D89" s="927" t="str">
        <f>'1. Building Information'!$B$53</f>
        <v>SITE: Project Name -- Project Address</v>
      </c>
      <c r="E89" s="239">
        <f>SUM(F89:Q89)</f>
        <v>0</v>
      </c>
      <c r="F89" s="180">
        <v>0</v>
      </c>
      <c r="G89" s="180">
        <v>0</v>
      </c>
      <c r="H89" s="180">
        <v>0</v>
      </c>
      <c r="I89" s="180">
        <v>0</v>
      </c>
      <c r="J89" s="180">
        <v>0</v>
      </c>
      <c r="K89" s="180">
        <v>0</v>
      </c>
      <c r="L89" s="180">
        <v>0</v>
      </c>
      <c r="M89" s="180">
        <v>0</v>
      </c>
      <c r="N89" s="180">
        <v>0</v>
      </c>
      <c r="O89" s="180">
        <v>0</v>
      </c>
      <c r="P89" s="180">
        <v>0</v>
      </c>
      <c r="Q89" s="180">
        <v>0</v>
      </c>
    </row>
    <row r="90" spans="2:20" s="258" customFormat="1" ht="21.75" customHeight="1" thickBot="1" x14ac:dyDescent="0.3">
      <c r="B90" s="928"/>
      <c r="C90" s="929"/>
      <c r="D90" s="930" t="s">
        <v>619</v>
      </c>
      <c r="E90" s="240">
        <f>E89</f>
        <v>0</v>
      </c>
      <c r="F90" s="240">
        <f>F89</f>
        <v>0</v>
      </c>
      <c r="G90" s="240">
        <f t="shared" ref="G90:Q90" si="22">G89</f>
        <v>0</v>
      </c>
      <c r="H90" s="240">
        <f t="shared" si="22"/>
        <v>0</v>
      </c>
      <c r="I90" s="240">
        <f t="shared" si="22"/>
        <v>0</v>
      </c>
      <c r="J90" s="240">
        <f t="shared" si="22"/>
        <v>0</v>
      </c>
      <c r="K90" s="240">
        <f t="shared" si="22"/>
        <v>0</v>
      </c>
      <c r="L90" s="240">
        <f t="shared" si="22"/>
        <v>0</v>
      </c>
      <c r="M90" s="240">
        <f t="shared" si="22"/>
        <v>0</v>
      </c>
      <c r="N90" s="240">
        <f t="shared" si="22"/>
        <v>0</v>
      </c>
      <c r="O90" s="240">
        <f t="shared" si="22"/>
        <v>0</v>
      </c>
      <c r="P90" s="240">
        <f t="shared" si="22"/>
        <v>0</v>
      </c>
      <c r="Q90" s="240">
        <f t="shared" si="22"/>
        <v>0</v>
      </c>
    </row>
    <row r="91" spans="2:20" s="258" customFormat="1" ht="15" x14ac:dyDescent="0.25">
      <c r="B91" s="759"/>
      <c r="C91" s="403"/>
      <c r="D91" s="259"/>
      <c r="E91" s="259"/>
      <c r="F91" s="259"/>
      <c r="G91" s="259"/>
      <c r="H91" s="259"/>
      <c r="I91" s="259"/>
      <c r="J91" s="259"/>
      <c r="K91" s="259"/>
      <c r="L91" s="259"/>
      <c r="M91" s="259"/>
      <c r="N91" s="259"/>
      <c r="O91" s="259"/>
      <c r="P91" s="259"/>
    </row>
    <row r="92" spans="2:20" s="258" customFormat="1" ht="15" x14ac:dyDescent="0.25">
      <c r="B92" s="759"/>
      <c r="C92" s="403"/>
      <c r="D92" s="259"/>
      <c r="E92" s="259"/>
      <c r="F92" s="259"/>
      <c r="G92" s="259"/>
      <c r="H92" s="259"/>
      <c r="I92" s="259"/>
      <c r="J92" s="259"/>
      <c r="K92" s="259"/>
      <c r="L92" s="259"/>
      <c r="M92" s="259"/>
      <c r="N92" s="259"/>
      <c r="O92" s="259"/>
      <c r="P92" s="259"/>
    </row>
    <row r="93" spans="2:20" s="258" customFormat="1" ht="15" hidden="1" x14ac:dyDescent="0.25">
      <c r="B93" s="759"/>
      <c r="C93" s="403"/>
      <c r="D93" s="259"/>
      <c r="E93" s="259"/>
      <c r="F93" s="259"/>
      <c r="G93" s="259"/>
      <c r="H93" s="259"/>
      <c r="I93" s="259"/>
      <c r="J93" s="259"/>
      <c r="K93" s="259"/>
      <c r="L93" s="259"/>
      <c r="M93" s="259"/>
      <c r="N93" s="259"/>
      <c r="O93" s="259"/>
      <c r="P93" s="259"/>
    </row>
    <row r="94" spans="2:20" s="258" customFormat="1" ht="15" hidden="1" x14ac:dyDescent="0.25">
      <c r="B94" s="759"/>
      <c r="C94" s="403"/>
      <c r="D94" s="259"/>
      <c r="E94" s="259"/>
      <c r="F94" s="259"/>
      <c r="G94" s="259"/>
      <c r="H94" s="259"/>
      <c r="I94" s="259"/>
      <c r="J94" s="259"/>
      <c r="K94" s="259"/>
      <c r="L94" s="259"/>
      <c r="M94" s="259"/>
      <c r="N94" s="259"/>
      <c r="O94" s="259"/>
      <c r="P94" s="259"/>
    </row>
    <row r="95" spans="2:20" s="258" customFormat="1" ht="15" hidden="1" x14ac:dyDescent="0.25">
      <c r="B95" s="759"/>
      <c r="C95" s="403"/>
      <c r="D95" s="259"/>
      <c r="E95" s="259"/>
      <c r="F95" s="259"/>
      <c r="G95" s="259"/>
      <c r="H95" s="259"/>
      <c r="I95" s="259"/>
      <c r="J95" s="259"/>
      <c r="K95" s="259"/>
      <c r="L95" s="259"/>
      <c r="M95" s="259"/>
      <c r="N95" s="259"/>
      <c r="O95" s="259"/>
      <c r="P95" s="259"/>
    </row>
    <row r="96" spans="2:20" s="258" customFormat="1" ht="15" hidden="1" x14ac:dyDescent="0.25">
      <c r="B96" s="759"/>
      <c r="C96" s="403"/>
      <c r="D96" s="259"/>
      <c r="E96" s="259"/>
      <c r="F96" s="259"/>
      <c r="G96" s="259"/>
      <c r="H96" s="259"/>
      <c r="I96" s="259"/>
      <c r="J96" s="259"/>
      <c r="K96" s="259"/>
      <c r="L96" s="259"/>
      <c r="M96" s="259"/>
      <c r="N96" s="259"/>
      <c r="O96" s="259"/>
      <c r="P96" s="259"/>
    </row>
    <row r="97" spans="2:61" s="258" customFormat="1" ht="15" hidden="1" x14ac:dyDescent="0.25">
      <c r="B97" s="759"/>
      <c r="C97" s="403"/>
      <c r="D97" s="259"/>
      <c r="E97" s="259"/>
      <c r="F97" s="259"/>
      <c r="G97" s="259"/>
      <c r="H97" s="259"/>
      <c r="I97" s="259"/>
      <c r="J97" s="259"/>
      <c r="K97" s="259"/>
      <c r="L97" s="259"/>
      <c r="M97" s="259"/>
      <c r="N97" s="259"/>
      <c r="O97" s="259"/>
      <c r="P97" s="259"/>
    </row>
    <row r="98" spans="2:61" s="258" customFormat="1" ht="15" hidden="1" x14ac:dyDescent="0.25">
      <c r="B98" s="759"/>
      <c r="C98" s="403"/>
      <c r="D98" s="259"/>
      <c r="E98" s="259"/>
      <c r="F98" s="259"/>
      <c r="G98" s="259"/>
      <c r="H98" s="259"/>
      <c r="I98" s="259"/>
      <c r="J98" s="259"/>
      <c r="K98" s="259"/>
      <c r="L98" s="259"/>
      <c r="M98" s="259"/>
      <c r="N98" s="259"/>
      <c r="O98" s="259"/>
      <c r="P98" s="259"/>
    </row>
    <row r="99" spans="2:61" s="258" customFormat="1" ht="15" hidden="1" x14ac:dyDescent="0.25">
      <c r="B99" s="759"/>
      <c r="C99" s="403"/>
      <c r="D99" s="259"/>
      <c r="E99" s="259"/>
      <c r="F99" s="259"/>
      <c r="G99" s="259"/>
      <c r="H99" s="259"/>
      <c r="I99" s="259"/>
      <c r="J99" s="259"/>
      <c r="K99" s="259"/>
      <c r="L99" s="259"/>
      <c r="M99" s="259"/>
      <c r="N99" s="259"/>
      <c r="O99" s="259"/>
      <c r="P99" s="259"/>
    </row>
    <row r="100" spans="2:61" s="258" customFormat="1" ht="15" hidden="1" x14ac:dyDescent="0.25">
      <c r="B100" s="759"/>
      <c r="C100" s="403"/>
      <c r="D100" s="259"/>
      <c r="E100" s="259"/>
      <c r="F100" s="259"/>
      <c r="G100" s="259"/>
      <c r="H100" s="259"/>
      <c r="I100" s="259"/>
      <c r="J100" s="259"/>
      <c r="K100" s="259"/>
      <c r="L100" s="259"/>
      <c r="M100" s="259"/>
      <c r="N100" s="259"/>
      <c r="O100" s="259"/>
      <c r="P100" s="259"/>
    </row>
    <row r="101" spans="2:61" s="258" customFormat="1" ht="15" hidden="1" x14ac:dyDescent="0.25">
      <c r="B101" s="759"/>
      <c r="C101" s="403"/>
      <c r="D101" s="259"/>
      <c r="E101" s="259"/>
      <c r="F101" s="259"/>
      <c r="G101" s="259"/>
      <c r="H101" s="259"/>
      <c r="I101" s="259"/>
      <c r="J101" s="259"/>
      <c r="K101" s="259"/>
      <c r="L101" s="259"/>
      <c r="M101" s="259"/>
      <c r="N101" s="259"/>
      <c r="O101" s="259"/>
      <c r="P101" s="259"/>
    </row>
    <row r="102" spans="2:61" s="258" customFormat="1" ht="15" x14ac:dyDescent="0.25">
      <c r="B102" s="759"/>
      <c r="C102" s="595"/>
      <c r="D102" s="760"/>
      <c r="E102" s="466"/>
      <c r="F102" s="259"/>
      <c r="G102" s="259"/>
      <c r="H102" s="259"/>
      <c r="I102" s="259"/>
      <c r="J102" s="259"/>
      <c r="K102" s="259"/>
      <c r="L102" s="259"/>
      <c r="M102" s="259"/>
      <c r="N102" s="259"/>
      <c r="O102" s="259"/>
      <c r="P102" s="259"/>
    </row>
    <row r="103" spans="2:61" s="1032" customFormat="1" ht="18.75" x14ac:dyDescent="0.3">
      <c r="B103" s="918" t="s">
        <v>268</v>
      </c>
      <c r="C103" s="931"/>
      <c r="D103" s="932"/>
      <c r="E103" s="933"/>
      <c r="F103" s="915"/>
      <c r="G103" s="915"/>
      <c r="H103" s="915"/>
      <c r="I103" s="915"/>
      <c r="J103" s="915"/>
      <c r="K103" s="915"/>
      <c r="L103" s="915"/>
      <c r="M103" s="915"/>
      <c r="N103" s="915"/>
      <c r="O103" s="915"/>
      <c r="P103" s="915"/>
    </row>
    <row r="104" spans="2:61" s="258" customFormat="1" ht="15" x14ac:dyDescent="0.25">
      <c r="B104" s="261" t="s">
        <v>163</v>
      </c>
      <c r="C104" s="595"/>
      <c r="D104" s="760"/>
      <c r="E104" s="466"/>
      <c r="F104" s="259"/>
      <c r="G104" s="259"/>
      <c r="H104" s="259"/>
      <c r="I104" s="259"/>
      <c r="J104" s="259"/>
      <c r="K104" s="259"/>
      <c r="L104" s="259"/>
      <c r="M104" s="259"/>
      <c r="N104" s="259"/>
      <c r="O104" s="259"/>
      <c r="P104" s="259"/>
    </row>
    <row r="105" spans="2:61" s="258" customFormat="1" ht="15" x14ac:dyDescent="0.25">
      <c r="B105" s="319" t="s">
        <v>131</v>
      </c>
      <c r="C105" s="595"/>
      <c r="D105" s="760"/>
      <c r="E105" s="466"/>
      <c r="F105" s="259"/>
      <c r="G105" s="259"/>
      <c r="H105" s="259"/>
      <c r="I105" s="259"/>
      <c r="J105" s="259"/>
      <c r="K105" s="259"/>
      <c r="L105" s="259"/>
      <c r="M105" s="259"/>
      <c r="N105" s="259"/>
      <c r="O105" s="259"/>
      <c r="P105" s="259"/>
    </row>
    <row r="106" spans="2:61" s="258" customFormat="1" ht="15.75" thickBot="1" x14ac:dyDescent="0.3">
      <c r="B106" s="759"/>
      <c r="C106" s="595"/>
      <c r="D106" s="760"/>
      <c r="E106" s="466"/>
      <c r="F106" s="259"/>
      <c r="G106" s="259"/>
      <c r="H106" s="259"/>
      <c r="I106" s="259"/>
      <c r="J106" s="259"/>
      <c r="K106" s="259"/>
      <c r="L106" s="259"/>
      <c r="M106" s="259"/>
      <c r="N106" s="259"/>
      <c r="O106" s="259"/>
      <c r="P106" s="259"/>
    </row>
    <row r="107" spans="2:61" s="258" customFormat="1" ht="48.75" customHeight="1" x14ac:dyDescent="0.25">
      <c r="B107" s="249" t="s">
        <v>125</v>
      </c>
      <c r="C107" s="1754" t="str">
        <f>B57</f>
        <v>SITE: Project Name -- Project Address</v>
      </c>
      <c r="D107" s="1755"/>
      <c r="E107" s="259"/>
      <c r="F107" s="259"/>
      <c r="G107" s="259"/>
      <c r="H107" s="259"/>
      <c r="I107" s="275"/>
      <c r="J107" s="259"/>
      <c r="K107" s="319"/>
      <c r="L107" s="319"/>
      <c r="M107" s="319"/>
      <c r="N107" s="319"/>
      <c r="O107" s="319"/>
      <c r="P107" s="319"/>
      <c r="Q107" s="1313"/>
      <c r="R107" s="1313"/>
      <c r="S107" s="319"/>
      <c r="T107" s="319"/>
      <c r="U107" s="319"/>
      <c r="V107" s="319"/>
      <c r="W107" s="319"/>
      <c r="X107" s="319"/>
      <c r="Y107" s="319"/>
      <c r="Z107" s="319"/>
      <c r="AA107" s="319"/>
      <c r="AB107" s="319"/>
      <c r="AC107" s="319"/>
      <c r="AD107" s="319"/>
      <c r="AE107" s="319"/>
      <c r="AF107" s="319"/>
      <c r="AG107" s="319"/>
      <c r="AH107" s="319"/>
      <c r="AI107" s="319"/>
      <c r="AJ107" s="319"/>
      <c r="AK107" s="319"/>
      <c r="AL107" s="319"/>
      <c r="AM107" s="319"/>
      <c r="AN107" s="319"/>
      <c r="AO107" s="319"/>
      <c r="AP107" s="319"/>
      <c r="AQ107" s="319"/>
      <c r="AR107" s="319"/>
      <c r="AS107" s="319"/>
      <c r="AT107" s="319"/>
      <c r="AU107" s="319"/>
      <c r="AV107" s="319"/>
      <c r="AW107" s="319"/>
      <c r="AX107" s="319"/>
      <c r="AY107" s="319"/>
      <c r="AZ107" s="319"/>
      <c r="BA107" s="319"/>
      <c r="BB107" s="319"/>
      <c r="BC107" s="319"/>
      <c r="BD107" s="319"/>
      <c r="BE107" s="319"/>
      <c r="BF107" s="319"/>
      <c r="BG107" s="319"/>
      <c r="BH107" s="319"/>
      <c r="BI107" s="319"/>
    </row>
    <row r="108" spans="2:61" s="258" customFormat="1" ht="15" x14ac:dyDescent="0.25">
      <c r="B108" s="250" t="s">
        <v>134</v>
      </c>
      <c r="C108" s="127">
        <v>0</v>
      </c>
      <c r="D108" s="1488" t="s">
        <v>25</v>
      </c>
      <c r="E108" s="245" t="s">
        <v>343</v>
      </c>
      <c r="F108" s="259"/>
      <c r="G108" s="259"/>
      <c r="H108" s="259"/>
      <c r="J108" s="1313"/>
      <c r="L108" s="319"/>
      <c r="M108" s="319"/>
      <c r="N108" s="319"/>
      <c r="O108" s="319"/>
      <c r="P108" s="319"/>
      <c r="Q108" s="1313"/>
      <c r="R108" s="1313"/>
      <c r="S108" s="319"/>
      <c r="T108" s="319"/>
      <c r="U108" s="319"/>
      <c r="V108" s="319"/>
      <c r="W108" s="319"/>
      <c r="X108" s="319"/>
      <c r="Y108" s="319"/>
      <c r="Z108" s="319"/>
      <c r="AA108" s="319"/>
      <c r="AB108" s="319"/>
      <c r="AC108" s="319"/>
      <c r="AD108" s="319"/>
      <c r="AE108" s="319"/>
      <c r="AF108" s="319"/>
      <c r="AG108" s="319"/>
      <c r="AH108" s="319"/>
      <c r="AI108" s="319"/>
      <c r="AJ108" s="319"/>
      <c r="AK108" s="319"/>
      <c r="AL108" s="319"/>
      <c r="AM108" s="319"/>
      <c r="AN108" s="319"/>
      <c r="AO108" s="319"/>
      <c r="AP108" s="319"/>
      <c r="AQ108" s="319"/>
      <c r="AR108" s="319"/>
      <c r="AS108" s="319"/>
      <c r="AT108" s="319"/>
      <c r="AU108" s="319"/>
      <c r="AV108" s="319"/>
      <c r="AW108" s="319"/>
      <c r="AX108" s="319"/>
      <c r="AY108" s="319"/>
      <c r="AZ108" s="319"/>
      <c r="BA108" s="319"/>
      <c r="BB108" s="319"/>
      <c r="BC108" s="319"/>
      <c r="BD108" s="319"/>
      <c r="BE108" s="319"/>
      <c r="BF108" s="319"/>
      <c r="BG108" s="319"/>
      <c r="BH108" s="319"/>
      <c r="BI108" s="319"/>
    </row>
    <row r="109" spans="2:61" s="258" customFormat="1" ht="15.75" thickBot="1" x14ac:dyDescent="0.3">
      <c r="B109" s="251"/>
      <c r="C109" s="128">
        <v>0</v>
      </c>
      <c r="D109" s="1488" t="s">
        <v>130</v>
      </c>
      <c r="E109" s="245" t="s">
        <v>344</v>
      </c>
      <c r="F109" s="259"/>
      <c r="G109" s="259"/>
      <c r="H109" s="259"/>
      <c r="J109" s="1313"/>
      <c r="L109" s="319"/>
      <c r="M109" s="319"/>
      <c r="N109" s="319"/>
      <c r="O109" s="319"/>
      <c r="P109" s="319"/>
      <c r="Q109" s="1313"/>
      <c r="R109" s="1313"/>
      <c r="S109" s="319"/>
      <c r="T109" s="319"/>
      <c r="U109" s="319"/>
      <c r="V109" s="319"/>
      <c r="W109" s="319"/>
      <c r="X109" s="319"/>
      <c r="Y109" s="319"/>
      <c r="Z109" s="319"/>
      <c r="AA109" s="319"/>
      <c r="AB109" s="319"/>
      <c r="AC109" s="319"/>
      <c r="AD109" s="319"/>
      <c r="AE109" s="319"/>
      <c r="AF109" s="319"/>
      <c r="AG109" s="319"/>
      <c r="AH109" s="319"/>
      <c r="AI109" s="319"/>
      <c r="AJ109" s="319"/>
      <c r="AK109" s="319"/>
      <c r="AL109" s="319"/>
      <c r="AM109" s="319"/>
      <c r="AN109" s="319"/>
      <c r="AO109" s="319"/>
      <c r="AP109" s="319"/>
      <c r="AQ109" s="319"/>
      <c r="AR109" s="319"/>
      <c r="AS109" s="319"/>
      <c r="AT109" s="319"/>
      <c r="AU109" s="319"/>
      <c r="AV109" s="319"/>
      <c r="AW109" s="319"/>
      <c r="AX109" s="319"/>
      <c r="AY109" s="319"/>
      <c r="AZ109" s="319"/>
      <c r="BA109" s="319"/>
      <c r="BB109" s="319"/>
      <c r="BC109" s="319"/>
      <c r="BD109" s="319"/>
      <c r="BE109" s="319"/>
      <c r="BF109" s="319"/>
      <c r="BG109" s="319"/>
      <c r="BH109" s="319"/>
      <c r="BI109" s="319"/>
    </row>
    <row r="110" spans="2:61" s="258" customFormat="1" ht="15.75" thickTop="1" x14ac:dyDescent="0.25">
      <c r="B110" s="251"/>
      <c r="C110" s="241">
        <f>C108*C109</f>
        <v>0</v>
      </c>
      <c r="D110" s="1488" t="s">
        <v>124</v>
      </c>
      <c r="E110" s="246"/>
      <c r="F110" s="259"/>
      <c r="G110" s="259"/>
      <c r="H110" s="259"/>
      <c r="J110" s="1313"/>
      <c r="L110" s="319"/>
      <c r="M110" s="319"/>
      <c r="N110" s="319"/>
      <c r="O110" s="319"/>
      <c r="P110" s="319"/>
      <c r="Q110" s="1313"/>
      <c r="R110" s="1313"/>
      <c r="S110" s="319"/>
      <c r="T110" s="319"/>
      <c r="U110" s="319"/>
      <c r="V110" s="319"/>
      <c r="W110" s="319"/>
      <c r="X110" s="319"/>
      <c r="Y110" s="319"/>
      <c r="Z110" s="319"/>
      <c r="AA110" s="319"/>
      <c r="AB110" s="319"/>
      <c r="AC110" s="319"/>
      <c r="AD110" s="319"/>
      <c r="AE110" s="319"/>
      <c r="AF110" s="319"/>
      <c r="AG110" s="319"/>
      <c r="AH110" s="319"/>
      <c r="AI110" s="319"/>
      <c r="AJ110" s="319"/>
      <c r="AK110" s="319"/>
      <c r="AL110" s="319"/>
      <c r="AM110" s="319"/>
      <c r="AN110" s="319"/>
      <c r="AO110" s="319"/>
      <c r="AP110" s="319"/>
      <c r="AQ110" s="319"/>
      <c r="AR110" s="319"/>
      <c r="AS110" s="319"/>
      <c r="AT110" s="319"/>
      <c r="AU110" s="319"/>
      <c r="AV110" s="319"/>
      <c r="AW110" s="319"/>
      <c r="AX110" s="319"/>
      <c r="AY110" s="319"/>
      <c r="AZ110" s="319"/>
      <c r="BA110" s="319"/>
      <c r="BB110" s="319"/>
      <c r="BC110" s="319"/>
      <c r="BD110" s="319"/>
      <c r="BE110" s="319"/>
      <c r="BF110" s="319"/>
      <c r="BG110" s="319"/>
      <c r="BH110" s="319"/>
      <c r="BI110" s="319"/>
    </row>
    <row r="111" spans="2:61" s="258" customFormat="1" ht="15" x14ac:dyDescent="0.25">
      <c r="B111" s="252"/>
      <c r="C111" s="1069"/>
      <c r="D111" s="934"/>
      <c r="E111" s="247"/>
      <c r="F111" s="259"/>
      <c r="G111" s="259"/>
      <c r="H111" s="259"/>
      <c r="J111" s="1313"/>
      <c r="L111" s="319"/>
      <c r="M111" s="319"/>
      <c r="N111" s="319"/>
      <c r="O111" s="319"/>
      <c r="P111" s="319"/>
      <c r="Q111" s="1313"/>
      <c r="R111" s="1313"/>
      <c r="S111" s="319"/>
      <c r="T111" s="319"/>
      <c r="U111" s="319"/>
      <c r="V111" s="319"/>
      <c r="W111" s="319"/>
      <c r="X111" s="319"/>
      <c r="Y111" s="319"/>
      <c r="Z111" s="319"/>
      <c r="AA111" s="319"/>
      <c r="AB111" s="319"/>
      <c r="AC111" s="319"/>
      <c r="AD111" s="319"/>
      <c r="AE111" s="319"/>
      <c r="AF111" s="319"/>
      <c r="AG111" s="319"/>
      <c r="AH111" s="319"/>
      <c r="AI111" s="319"/>
      <c r="AJ111" s="319"/>
      <c r="AK111" s="319"/>
      <c r="AL111" s="319"/>
      <c r="AM111" s="319"/>
      <c r="AN111" s="319"/>
      <c r="AO111" s="319"/>
      <c r="AP111" s="319"/>
      <c r="AQ111" s="319"/>
      <c r="AR111" s="319"/>
      <c r="AS111" s="319"/>
      <c r="AT111" s="319"/>
      <c r="AU111" s="319"/>
      <c r="AV111" s="319"/>
      <c r="AW111" s="319"/>
      <c r="AX111" s="319"/>
      <c r="AY111" s="319"/>
      <c r="AZ111" s="319"/>
      <c r="BA111" s="319"/>
      <c r="BB111" s="319"/>
      <c r="BC111" s="319"/>
      <c r="BD111" s="319"/>
      <c r="BE111" s="319"/>
      <c r="BF111" s="319"/>
      <c r="BG111" s="319"/>
      <c r="BH111" s="319"/>
      <c r="BI111" s="319"/>
    </row>
    <row r="112" spans="2:61" s="258" customFormat="1" ht="15" x14ac:dyDescent="0.25">
      <c r="B112" s="253" t="s">
        <v>126</v>
      </c>
      <c r="C112" s="1069"/>
      <c r="D112" s="934"/>
      <c r="E112" s="247"/>
      <c r="F112" s="259"/>
      <c r="G112" s="259"/>
      <c r="H112" s="259"/>
      <c r="J112" s="1313"/>
      <c r="L112" s="319"/>
      <c r="M112" s="319"/>
      <c r="N112" s="319"/>
      <c r="O112" s="319"/>
      <c r="P112" s="319"/>
      <c r="Q112" s="1313"/>
      <c r="R112" s="1313"/>
      <c r="S112" s="319"/>
      <c r="T112" s="319"/>
      <c r="U112" s="319"/>
      <c r="V112" s="319"/>
      <c r="W112" s="319"/>
      <c r="X112" s="319"/>
      <c r="Y112" s="319"/>
      <c r="Z112" s="319"/>
      <c r="AA112" s="319"/>
      <c r="AB112" s="319"/>
      <c r="AC112" s="319"/>
      <c r="AD112" s="319"/>
      <c r="AE112" s="319"/>
      <c r="AF112" s="319"/>
      <c r="AG112" s="319"/>
      <c r="AH112" s="319"/>
      <c r="AI112" s="319"/>
      <c r="AJ112" s="319"/>
      <c r="AK112" s="319"/>
      <c r="AL112" s="319"/>
      <c r="AM112" s="319"/>
      <c r="AN112" s="319"/>
      <c r="AO112" s="319"/>
      <c r="AP112" s="319"/>
      <c r="AQ112" s="319"/>
      <c r="AR112" s="319"/>
      <c r="AS112" s="319"/>
      <c r="AT112" s="319"/>
      <c r="AU112" s="319"/>
      <c r="AV112" s="319"/>
      <c r="AW112" s="319"/>
      <c r="AX112" s="319"/>
      <c r="AY112" s="319"/>
      <c r="AZ112" s="319"/>
      <c r="BA112" s="319"/>
      <c r="BB112" s="319"/>
      <c r="BC112" s="319"/>
      <c r="BD112" s="319"/>
      <c r="BE112" s="319"/>
      <c r="BF112" s="319"/>
      <c r="BG112" s="319"/>
      <c r="BH112" s="319"/>
      <c r="BI112" s="319"/>
    </row>
    <row r="113" spans="2:61" s="258" customFormat="1" ht="15" x14ac:dyDescent="0.25">
      <c r="B113" s="1753" t="s">
        <v>170</v>
      </c>
      <c r="C113" s="127">
        <v>0</v>
      </c>
      <c r="D113" s="1488" t="s">
        <v>128</v>
      </c>
      <c r="E113" s="245" t="s">
        <v>345</v>
      </c>
      <c r="F113" s="259"/>
      <c r="G113" s="259"/>
      <c r="H113" s="259"/>
      <c r="J113" s="1313"/>
      <c r="L113" s="319"/>
      <c r="M113" s="319"/>
      <c r="N113" s="319"/>
      <c r="O113" s="319"/>
      <c r="P113" s="319"/>
      <c r="Q113" s="1313"/>
      <c r="R113" s="1313"/>
      <c r="S113" s="319"/>
      <c r="T113" s="319"/>
      <c r="U113" s="319"/>
      <c r="V113" s="319"/>
      <c r="W113" s="319"/>
      <c r="X113" s="319"/>
      <c r="Y113" s="319"/>
      <c r="Z113" s="319"/>
      <c r="AA113" s="319"/>
      <c r="AB113" s="319"/>
      <c r="AC113" s="319"/>
      <c r="AD113" s="319"/>
      <c r="AE113" s="319"/>
      <c r="AF113" s="319"/>
      <c r="AG113" s="319"/>
      <c r="AH113" s="319"/>
      <c r="AI113" s="319"/>
      <c r="AJ113" s="319"/>
      <c r="AK113" s="319"/>
      <c r="AL113" s="319"/>
      <c r="AM113" s="319"/>
      <c r="AN113" s="319"/>
      <c r="AO113" s="319"/>
      <c r="AP113" s="319"/>
      <c r="AQ113" s="319"/>
      <c r="AR113" s="319"/>
      <c r="AS113" s="319"/>
      <c r="AT113" s="319"/>
      <c r="AU113" s="319"/>
      <c r="AV113" s="319"/>
      <c r="AW113" s="319"/>
      <c r="AX113" s="319"/>
      <c r="AY113" s="319"/>
      <c r="AZ113" s="319"/>
      <c r="BA113" s="319"/>
      <c r="BB113" s="319"/>
      <c r="BC113" s="319"/>
      <c r="BD113" s="319"/>
      <c r="BE113" s="319"/>
      <c r="BF113" s="319"/>
      <c r="BG113" s="319"/>
      <c r="BH113" s="319"/>
      <c r="BI113" s="319"/>
    </row>
    <row r="114" spans="2:61" s="258" customFormat="1" ht="15" x14ac:dyDescent="0.25">
      <c r="B114" s="1753"/>
      <c r="C114" s="127">
        <v>0</v>
      </c>
      <c r="D114" s="1488" t="s">
        <v>129</v>
      </c>
      <c r="E114" s="245" t="s">
        <v>346</v>
      </c>
      <c r="F114" s="259"/>
      <c r="G114" s="259"/>
      <c r="H114" s="259"/>
      <c r="J114" s="1313"/>
      <c r="L114" s="319"/>
      <c r="M114" s="319"/>
      <c r="N114" s="319"/>
      <c r="O114" s="319"/>
      <c r="P114" s="319"/>
      <c r="Q114" s="1313"/>
      <c r="R114" s="1313"/>
      <c r="S114" s="319"/>
      <c r="T114" s="319"/>
      <c r="U114" s="319"/>
      <c r="V114" s="319"/>
      <c r="W114" s="319"/>
      <c r="X114" s="319"/>
      <c r="Y114" s="319"/>
      <c r="Z114" s="319"/>
      <c r="AA114" s="319"/>
      <c r="AB114" s="319"/>
      <c r="AC114" s="319"/>
      <c r="AD114" s="319"/>
      <c r="AE114" s="319"/>
      <c r="AF114" s="319"/>
      <c r="AG114" s="319"/>
      <c r="AH114" s="319"/>
      <c r="AI114" s="319"/>
      <c r="AJ114" s="319"/>
      <c r="AK114" s="319"/>
      <c r="AL114" s="319"/>
      <c r="AM114" s="319"/>
      <c r="AN114" s="319"/>
      <c r="AO114" s="319"/>
      <c r="AP114" s="319"/>
      <c r="AQ114" s="319"/>
      <c r="AR114" s="319"/>
      <c r="AS114" s="319"/>
      <c r="AT114" s="319"/>
      <c r="AU114" s="319"/>
      <c r="AV114" s="319"/>
      <c r="AW114" s="319"/>
      <c r="AX114" s="319"/>
      <c r="AY114" s="319"/>
      <c r="AZ114" s="319"/>
      <c r="BA114" s="319"/>
      <c r="BB114" s="319"/>
      <c r="BC114" s="319"/>
      <c r="BD114" s="319"/>
      <c r="BE114" s="319"/>
      <c r="BF114" s="319"/>
      <c r="BG114" s="319"/>
      <c r="BH114" s="319"/>
      <c r="BI114" s="319"/>
    </row>
    <row r="115" spans="2:61" s="258" customFormat="1" ht="15" x14ac:dyDescent="0.25">
      <c r="B115" s="1753"/>
      <c r="C115" s="242">
        <f>C113*C114</f>
        <v>0</v>
      </c>
      <c r="D115" s="1488" t="s">
        <v>25</v>
      </c>
      <c r="E115" s="246"/>
      <c r="F115" s="259"/>
      <c r="G115" s="259"/>
      <c r="H115" s="259"/>
      <c r="J115" s="1313"/>
      <c r="L115" s="319"/>
      <c r="M115" s="319"/>
      <c r="N115" s="319"/>
      <c r="O115" s="319"/>
      <c r="P115" s="319"/>
      <c r="Q115" s="1313"/>
      <c r="R115" s="1313"/>
      <c r="S115" s="319"/>
      <c r="T115" s="319"/>
      <c r="U115" s="319"/>
      <c r="V115" s="319"/>
      <c r="W115" s="319"/>
      <c r="X115" s="319"/>
      <c r="Y115" s="319"/>
      <c r="Z115" s="319"/>
      <c r="AA115" s="319"/>
      <c r="AB115" s="319"/>
      <c r="AC115" s="319"/>
      <c r="AD115" s="319"/>
      <c r="AE115" s="319"/>
      <c r="AF115" s="319"/>
      <c r="AG115" s="319"/>
      <c r="AH115" s="319"/>
      <c r="AI115" s="319"/>
      <c r="AJ115" s="319"/>
      <c r="AK115" s="319"/>
      <c r="AL115" s="319"/>
      <c r="AM115" s="319"/>
      <c r="AN115" s="319"/>
      <c r="AO115" s="319"/>
      <c r="AP115" s="319"/>
      <c r="AQ115" s="319"/>
      <c r="AR115" s="319"/>
      <c r="AS115" s="319"/>
      <c r="AT115" s="319"/>
      <c r="AU115" s="319"/>
      <c r="AV115" s="319"/>
      <c r="AW115" s="319"/>
      <c r="AX115" s="319"/>
      <c r="AY115" s="319"/>
      <c r="AZ115" s="319"/>
      <c r="BA115" s="319"/>
      <c r="BB115" s="319"/>
      <c r="BC115" s="319"/>
      <c r="BD115" s="319"/>
      <c r="BE115" s="319"/>
      <c r="BF115" s="319"/>
      <c r="BG115" s="319"/>
      <c r="BH115" s="319"/>
      <c r="BI115" s="319"/>
    </row>
    <row r="116" spans="2:61" s="258" customFormat="1" ht="15.75" thickBot="1" x14ac:dyDescent="0.3">
      <c r="B116" s="1753"/>
      <c r="C116" s="128">
        <v>0</v>
      </c>
      <c r="D116" s="1488" t="s">
        <v>130</v>
      </c>
      <c r="E116" s="245" t="s">
        <v>518</v>
      </c>
      <c r="F116" s="259"/>
      <c r="G116" s="259"/>
      <c r="H116" s="259"/>
      <c r="J116" s="1313"/>
      <c r="L116" s="319"/>
      <c r="M116" s="319"/>
      <c r="N116" s="319"/>
      <c r="O116" s="319"/>
      <c r="P116" s="319"/>
      <c r="Q116" s="1313"/>
      <c r="R116" s="1313"/>
      <c r="S116" s="319"/>
      <c r="T116" s="319"/>
      <c r="U116" s="319"/>
      <c r="V116" s="319"/>
      <c r="W116" s="319"/>
      <c r="X116" s="319"/>
      <c r="Y116" s="319"/>
      <c r="Z116" s="319"/>
      <c r="AA116" s="319"/>
      <c r="AB116" s="319"/>
      <c r="AC116" s="319"/>
      <c r="AD116" s="319"/>
      <c r="AE116" s="319"/>
      <c r="AF116" s="319"/>
      <c r="AG116" s="319"/>
      <c r="AH116" s="319"/>
      <c r="AI116" s="319"/>
      <c r="AJ116" s="319"/>
      <c r="AK116" s="319"/>
      <c r="AL116" s="319"/>
      <c r="AM116" s="319"/>
      <c r="AN116" s="319"/>
      <c r="AO116" s="319"/>
      <c r="AP116" s="319"/>
      <c r="AQ116" s="319"/>
      <c r="AR116" s="319"/>
      <c r="AS116" s="319"/>
      <c r="AT116" s="319"/>
      <c r="AU116" s="319"/>
      <c r="AV116" s="319"/>
      <c r="AW116" s="319"/>
      <c r="AX116" s="319"/>
      <c r="AY116" s="319"/>
      <c r="AZ116" s="319"/>
      <c r="BA116" s="319"/>
      <c r="BB116" s="319"/>
      <c r="BC116" s="319"/>
      <c r="BD116" s="319"/>
      <c r="BE116" s="319"/>
      <c r="BF116" s="319"/>
      <c r="BG116" s="319"/>
      <c r="BH116" s="319"/>
      <c r="BI116" s="319"/>
    </row>
    <row r="117" spans="2:61" s="258" customFormat="1" ht="15.75" thickTop="1" x14ac:dyDescent="0.25">
      <c r="B117" s="1753"/>
      <c r="C117" s="241">
        <f>C115*C116</f>
        <v>0</v>
      </c>
      <c r="D117" s="1488" t="s">
        <v>124</v>
      </c>
      <c r="E117" s="247"/>
      <c r="F117" s="259"/>
      <c r="G117" s="259"/>
      <c r="H117" s="259"/>
      <c r="J117" s="1313"/>
      <c r="L117" s="319"/>
      <c r="M117" s="319"/>
      <c r="N117" s="319"/>
      <c r="O117" s="319"/>
      <c r="P117" s="319"/>
      <c r="Q117" s="1313"/>
      <c r="R117" s="1313"/>
      <c r="S117" s="319"/>
      <c r="T117" s="319"/>
      <c r="U117" s="319"/>
      <c r="V117" s="319"/>
      <c r="W117" s="319"/>
      <c r="X117" s="319"/>
      <c r="Y117" s="319"/>
      <c r="Z117" s="319"/>
      <c r="AA117" s="319"/>
      <c r="AB117" s="319"/>
      <c r="AC117" s="319"/>
      <c r="AD117" s="319"/>
      <c r="AE117" s="319"/>
      <c r="AF117" s="319"/>
      <c r="AG117" s="319"/>
      <c r="AH117" s="319"/>
      <c r="AI117" s="319"/>
      <c r="AJ117" s="319"/>
      <c r="AK117" s="319"/>
      <c r="AL117" s="319"/>
      <c r="AM117" s="319"/>
      <c r="AN117" s="319"/>
      <c r="AO117" s="319"/>
      <c r="AP117" s="319"/>
      <c r="AQ117" s="319"/>
      <c r="AR117" s="319"/>
      <c r="AS117" s="319"/>
      <c r="AT117" s="319"/>
      <c r="AU117" s="319"/>
      <c r="AV117" s="319"/>
      <c r="AW117" s="319"/>
      <c r="AX117" s="319"/>
      <c r="AY117" s="319"/>
      <c r="AZ117" s="319"/>
      <c r="BA117" s="319"/>
      <c r="BB117" s="319"/>
      <c r="BC117" s="319"/>
      <c r="BD117" s="319"/>
      <c r="BE117" s="319"/>
      <c r="BF117" s="319"/>
      <c r="BG117" s="319"/>
      <c r="BH117" s="319"/>
      <c r="BI117" s="319"/>
    </row>
    <row r="118" spans="2:61" s="258" customFormat="1" ht="15" x14ac:dyDescent="0.25">
      <c r="B118" s="254"/>
      <c r="C118" s="1069"/>
      <c r="D118" s="934"/>
      <c r="E118" s="247"/>
      <c r="F118" s="259"/>
      <c r="G118" s="259"/>
      <c r="H118" s="259"/>
      <c r="J118" s="1313"/>
      <c r="L118" s="319"/>
      <c r="M118" s="319"/>
      <c r="N118" s="319"/>
      <c r="O118" s="319"/>
      <c r="P118" s="319"/>
      <c r="Q118" s="1313"/>
      <c r="R118" s="1313"/>
      <c r="S118" s="319"/>
      <c r="T118" s="319"/>
      <c r="U118" s="319"/>
      <c r="V118" s="319"/>
      <c r="W118" s="319"/>
      <c r="X118" s="319"/>
      <c r="Y118" s="319"/>
      <c r="Z118" s="319"/>
      <c r="AA118" s="319"/>
      <c r="AB118" s="319"/>
      <c r="AC118" s="319"/>
      <c r="AD118" s="319"/>
      <c r="AE118" s="319"/>
      <c r="AF118" s="319"/>
      <c r="AG118" s="319"/>
      <c r="AH118" s="319"/>
      <c r="AI118" s="319"/>
      <c r="AJ118" s="319"/>
      <c r="AK118" s="319"/>
      <c r="AL118" s="319"/>
      <c r="AM118" s="319"/>
      <c r="AN118" s="319"/>
      <c r="AO118" s="319"/>
      <c r="AP118" s="319"/>
      <c r="AQ118" s="319"/>
      <c r="AR118" s="319"/>
      <c r="AS118" s="319"/>
      <c r="AT118" s="319"/>
      <c r="AU118" s="319"/>
      <c r="AV118" s="319"/>
      <c r="AW118" s="319"/>
      <c r="AX118" s="319"/>
      <c r="AY118" s="319"/>
      <c r="AZ118" s="319"/>
      <c r="BA118" s="319"/>
      <c r="BB118" s="319"/>
      <c r="BC118" s="319"/>
      <c r="BD118" s="319"/>
      <c r="BE118" s="319"/>
      <c r="BF118" s="319"/>
      <c r="BG118" s="319"/>
      <c r="BH118" s="319"/>
      <c r="BI118" s="319"/>
    </row>
    <row r="119" spans="2:61" s="258" customFormat="1" ht="15" x14ac:dyDescent="0.25">
      <c r="B119" s="253" t="s">
        <v>169</v>
      </c>
      <c r="C119" s="1069"/>
      <c r="D119" s="934"/>
      <c r="E119" s="247"/>
      <c r="F119" s="259"/>
      <c r="G119" s="259"/>
      <c r="H119" s="259"/>
      <c r="J119" s="1313"/>
      <c r="L119" s="319"/>
      <c r="M119" s="319"/>
      <c r="N119" s="319"/>
      <c r="O119" s="319"/>
      <c r="P119" s="319"/>
      <c r="Q119" s="1313"/>
      <c r="R119" s="1313"/>
      <c r="S119" s="319"/>
      <c r="T119" s="319"/>
      <c r="U119" s="319"/>
      <c r="V119" s="319"/>
      <c r="W119" s="319"/>
      <c r="X119" s="319"/>
      <c r="Y119" s="319"/>
      <c r="Z119" s="319"/>
      <c r="AA119" s="319"/>
      <c r="AB119" s="319"/>
      <c r="AC119" s="319"/>
      <c r="AD119" s="319"/>
      <c r="AE119" s="319"/>
      <c r="AF119" s="319"/>
      <c r="AG119" s="319"/>
      <c r="AH119" s="319"/>
      <c r="AI119" s="319"/>
      <c r="AJ119" s="319"/>
      <c r="AK119" s="319"/>
      <c r="AL119" s="319"/>
      <c r="AM119" s="319"/>
      <c r="AN119" s="319"/>
      <c r="AO119" s="319"/>
      <c r="AP119" s="319"/>
      <c r="AQ119" s="319"/>
      <c r="AR119" s="319"/>
      <c r="AS119" s="319"/>
      <c r="AT119" s="319"/>
      <c r="AU119" s="319"/>
      <c r="AV119" s="319"/>
      <c r="AW119" s="319"/>
      <c r="AX119" s="319"/>
      <c r="AY119" s="319"/>
      <c r="AZ119" s="319"/>
      <c r="BA119" s="319"/>
      <c r="BB119" s="319"/>
      <c r="BC119" s="319"/>
      <c r="BD119" s="319"/>
      <c r="BE119" s="319"/>
      <c r="BF119" s="319"/>
      <c r="BG119" s="319"/>
      <c r="BH119" s="319"/>
      <c r="BI119" s="319"/>
    </row>
    <row r="120" spans="2:61" s="258" customFormat="1" ht="15" x14ac:dyDescent="0.25">
      <c r="B120" s="254" t="s">
        <v>183</v>
      </c>
      <c r="C120" s="127">
        <v>0</v>
      </c>
      <c r="D120" s="1488" t="s">
        <v>25</v>
      </c>
      <c r="E120" s="245" t="s">
        <v>347</v>
      </c>
      <c r="F120" s="259"/>
      <c r="G120" s="259"/>
      <c r="H120" s="259"/>
      <c r="J120" s="1313"/>
      <c r="L120" s="319"/>
      <c r="M120" s="319"/>
      <c r="N120" s="319"/>
      <c r="O120" s="319"/>
      <c r="P120" s="319"/>
      <c r="Q120" s="1313"/>
      <c r="R120" s="1313"/>
      <c r="S120" s="319"/>
      <c r="T120" s="319"/>
      <c r="U120" s="319"/>
      <c r="V120" s="319"/>
      <c r="W120" s="319"/>
      <c r="X120" s="319"/>
      <c r="Y120" s="319"/>
      <c r="Z120" s="319"/>
      <c r="AA120" s="319"/>
      <c r="AB120" s="319"/>
      <c r="AC120" s="319"/>
      <c r="AD120" s="319"/>
      <c r="AE120" s="319"/>
      <c r="AF120" s="319"/>
      <c r="AG120" s="319"/>
      <c r="AH120" s="319"/>
      <c r="AI120" s="319"/>
      <c r="AJ120" s="319"/>
      <c r="AK120" s="319"/>
      <c r="AL120" s="319"/>
      <c r="AM120" s="319"/>
      <c r="AN120" s="319"/>
      <c r="AO120" s="319"/>
      <c r="AP120" s="319"/>
      <c r="AQ120" s="319"/>
      <c r="AR120" s="319"/>
      <c r="AS120" s="319"/>
      <c r="AT120" s="319"/>
      <c r="AU120" s="319"/>
      <c r="AV120" s="319"/>
      <c r="AW120" s="319"/>
      <c r="AX120" s="319"/>
      <c r="AY120" s="319"/>
      <c r="AZ120" s="319"/>
      <c r="BA120" s="319"/>
      <c r="BB120" s="319"/>
      <c r="BC120" s="319"/>
      <c r="BD120" s="319"/>
      <c r="BE120" s="319"/>
      <c r="BF120" s="319"/>
      <c r="BG120" s="319"/>
      <c r="BH120" s="319"/>
      <c r="BI120" s="319"/>
    </row>
    <row r="121" spans="2:61" s="258" customFormat="1" ht="15.75" thickBot="1" x14ac:dyDescent="0.3">
      <c r="B121" s="250"/>
      <c r="C121" s="128">
        <v>0</v>
      </c>
      <c r="D121" s="1488" t="s">
        <v>130</v>
      </c>
      <c r="E121" s="245" t="s">
        <v>348</v>
      </c>
      <c r="F121" s="259"/>
      <c r="G121" s="259"/>
      <c r="H121" s="259"/>
      <c r="J121" s="1313"/>
      <c r="L121" s="319"/>
      <c r="M121" s="319"/>
      <c r="N121" s="319"/>
      <c r="O121" s="319"/>
      <c r="P121" s="319"/>
      <c r="Q121" s="1313"/>
      <c r="R121" s="1313"/>
      <c r="S121" s="319"/>
      <c r="T121" s="319"/>
      <c r="U121" s="319"/>
      <c r="V121" s="319"/>
      <c r="W121" s="319"/>
      <c r="X121" s="319"/>
      <c r="Y121" s="319"/>
      <c r="Z121" s="319"/>
      <c r="AA121" s="319"/>
      <c r="AB121" s="319"/>
      <c r="AC121" s="319"/>
      <c r="AD121" s="319"/>
      <c r="AE121" s="319"/>
      <c r="AF121" s="319"/>
      <c r="AG121" s="319"/>
      <c r="AH121" s="319"/>
      <c r="AI121" s="319"/>
      <c r="AJ121" s="319"/>
      <c r="AK121" s="319"/>
      <c r="AL121" s="319"/>
      <c r="AM121" s="319"/>
      <c r="AN121" s="319"/>
      <c r="AO121" s="319"/>
      <c r="AP121" s="319"/>
      <c r="AQ121" s="319"/>
      <c r="AR121" s="319"/>
      <c r="AS121" s="319"/>
      <c r="AT121" s="319"/>
      <c r="AU121" s="319"/>
      <c r="AV121" s="319"/>
      <c r="AW121" s="319"/>
      <c r="AX121" s="319"/>
      <c r="AY121" s="319"/>
      <c r="AZ121" s="319"/>
      <c r="BA121" s="319"/>
      <c r="BB121" s="319"/>
      <c r="BC121" s="319"/>
      <c r="BD121" s="319"/>
      <c r="BE121" s="319"/>
      <c r="BF121" s="319"/>
      <c r="BG121" s="319"/>
      <c r="BH121" s="319"/>
      <c r="BI121" s="319"/>
    </row>
    <row r="122" spans="2:61" s="258" customFormat="1" ht="16.5" thickTop="1" thickBot="1" x14ac:dyDescent="0.3">
      <c r="B122" s="255"/>
      <c r="C122" s="243">
        <f>C120*C121</f>
        <v>0</v>
      </c>
      <c r="D122" s="1489" t="s">
        <v>124</v>
      </c>
      <c r="E122" s="248"/>
      <c r="F122" s="259"/>
      <c r="G122" s="259"/>
      <c r="H122" s="259"/>
      <c r="J122" s="1313"/>
      <c r="K122" s="247"/>
      <c r="L122" s="319"/>
      <c r="M122" s="319"/>
      <c r="N122" s="319"/>
      <c r="O122" s="319"/>
      <c r="P122" s="319"/>
      <c r="Q122" s="1313"/>
      <c r="R122" s="1313"/>
      <c r="S122" s="319"/>
      <c r="T122" s="319"/>
      <c r="U122" s="319"/>
      <c r="V122" s="319"/>
      <c r="W122" s="319"/>
      <c r="X122" s="319"/>
      <c r="Y122" s="319"/>
      <c r="Z122" s="319"/>
      <c r="AA122" s="319"/>
      <c r="AB122" s="319"/>
      <c r="AC122" s="319"/>
      <c r="AD122" s="319"/>
      <c r="AE122" s="319"/>
      <c r="AF122" s="319"/>
      <c r="AG122" s="319"/>
      <c r="AH122" s="319"/>
      <c r="AI122" s="319"/>
      <c r="AJ122" s="319"/>
      <c r="AK122" s="319"/>
      <c r="AL122" s="319"/>
      <c r="AM122" s="319"/>
      <c r="AN122" s="319"/>
      <c r="AO122" s="319"/>
      <c r="AP122" s="319"/>
      <c r="AQ122" s="319"/>
      <c r="AR122" s="319"/>
      <c r="AS122" s="319"/>
      <c r="AT122" s="319"/>
      <c r="AU122" s="319"/>
      <c r="AV122" s="319"/>
      <c r="AW122" s="319"/>
      <c r="AX122" s="319"/>
      <c r="AY122" s="319"/>
      <c r="AZ122" s="319"/>
      <c r="BA122" s="319"/>
      <c r="BB122" s="319"/>
      <c r="BC122" s="319"/>
      <c r="BD122" s="319"/>
      <c r="BE122" s="319"/>
      <c r="BF122" s="319"/>
      <c r="BG122" s="319"/>
      <c r="BH122" s="319"/>
      <c r="BI122" s="319"/>
    </row>
    <row r="123" spans="2:61" s="258" customFormat="1" ht="12" customHeight="1" thickBot="1" x14ac:dyDescent="0.3">
      <c r="B123" s="256"/>
      <c r="C123" s="466"/>
      <c r="D123" s="244"/>
      <c r="E123" s="248"/>
      <c r="F123" s="259"/>
      <c r="G123" s="259"/>
      <c r="H123" s="259"/>
      <c r="J123" s="1313"/>
      <c r="K123" s="319"/>
      <c r="L123" s="319"/>
      <c r="M123" s="319"/>
      <c r="N123" s="319"/>
      <c r="O123" s="319"/>
      <c r="P123" s="319"/>
      <c r="Q123" s="1313"/>
      <c r="R123" s="1313"/>
      <c r="S123" s="319"/>
      <c r="T123" s="319"/>
      <c r="U123" s="319"/>
      <c r="V123" s="319"/>
      <c r="W123" s="319"/>
      <c r="X123" s="319"/>
      <c r="Y123" s="319"/>
      <c r="Z123" s="319"/>
      <c r="AA123" s="319"/>
      <c r="AB123" s="319"/>
      <c r="AC123" s="319"/>
      <c r="AD123" s="319"/>
      <c r="AE123" s="319"/>
      <c r="AF123" s="319"/>
      <c r="AG123" s="319"/>
      <c r="AH123" s="319"/>
      <c r="AI123" s="319"/>
      <c r="AJ123" s="319"/>
      <c r="AK123" s="319"/>
      <c r="AL123" s="319"/>
      <c r="AM123" s="319"/>
      <c r="AN123" s="319"/>
      <c r="AO123" s="319"/>
      <c r="AP123" s="319"/>
      <c r="AQ123" s="319"/>
      <c r="AR123" s="319"/>
      <c r="AS123" s="319"/>
      <c r="AT123" s="319"/>
      <c r="AU123" s="319"/>
      <c r="AV123" s="319"/>
      <c r="AW123" s="319"/>
      <c r="AX123" s="319"/>
      <c r="AY123" s="319"/>
      <c r="AZ123" s="319"/>
      <c r="BA123" s="319"/>
      <c r="BB123" s="319"/>
      <c r="BC123" s="319"/>
      <c r="BD123" s="319"/>
      <c r="BE123" s="319"/>
      <c r="BF123" s="319"/>
      <c r="BG123" s="319"/>
      <c r="BH123" s="319"/>
      <c r="BI123" s="319"/>
    </row>
    <row r="124" spans="2:61" s="258" customFormat="1" ht="30.75" thickBot="1" x14ac:dyDescent="0.3">
      <c r="B124" s="257" t="s">
        <v>631</v>
      </c>
      <c r="C124" s="183">
        <v>0</v>
      </c>
      <c r="D124" s="1490" t="s">
        <v>124</v>
      </c>
      <c r="E124" s="245" t="s">
        <v>733</v>
      </c>
      <c r="F124" s="259"/>
      <c r="G124" s="259"/>
      <c r="H124" s="259"/>
      <c r="J124" s="1313"/>
      <c r="K124" s="319"/>
      <c r="L124" s="319"/>
      <c r="M124" s="319"/>
      <c r="N124" s="319"/>
      <c r="O124" s="319"/>
      <c r="P124" s="319"/>
      <c r="Q124" s="1313"/>
      <c r="R124" s="1313"/>
      <c r="S124" s="319"/>
      <c r="T124" s="319"/>
      <c r="U124" s="319"/>
      <c r="V124" s="319"/>
      <c r="W124" s="319"/>
      <c r="X124" s="319"/>
      <c r="Y124" s="319"/>
      <c r="Z124" s="319"/>
      <c r="AA124" s="319"/>
      <c r="AB124" s="319"/>
      <c r="AC124" s="319"/>
      <c r="AD124" s="319"/>
      <c r="AE124" s="319"/>
      <c r="AF124" s="319"/>
      <c r="AG124" s="319"/>
      <c r="AH124" s="319"/>
      <c r="AI124" s="319"/>
      <c r="AJ124" s="319"/>
      <c r="AK124" s="319"/>
      <c r="AL124" s="319"/>
      <c r="AM124" s="319"/>
      <c r="AN124" s="319"/>
      <c r="AO124" s="319"/>
      <c r="AP124" s="319"/>
      <c r="AQ124" s="319"/>
      <c r="AR124" s="319"/>
      <c r="AS124" s="319"/>
      <c r="AT124" s="319"/>
      <c r="AU124" s="319"/>
      <c r="AV124" s="319"/>
      <c r="AW124" s="319"/>
      <c r="AX124" s="319"/>
      <c r="AY124" s="319"/>
      <c r="AZ124" s="319"/>
      <c r="BA124" s="319"/>
      <c r="BB124" s="319"/>
      <c r="BC124" s="319"/>
      <c r="BD124" s="319"/>
      <c r="BE124" s="319"/>
      <c r="BF124" s="319"/>
      <c r="BG124" s="319"/>
      <c r="BH124" s="319"/>
      <c r="BI124" s="319"/>
    </row>
    <row r="125" spans="2:61" s="258" customFormat="1" ht="15" x14ac:dyDescent="0.25">
      <c r="B125" s="256"/>
      <c r="C125" s="466"/>
      <c r="D125" s="244"/>
      <c r="E125" s="247"/>
      <c r="F125" s="247"/>
      <c r="G125" s="248"/>
      <c r="H125" s="248"/>
      <c r="I125" s="248"/>
      <c r="J125" s="1313"/>
      <c r="K125" s="319"/>
      <c r="L125" s="319"/>
      <c r="M125" s="319"/>
      <c r="N125" s="319"/>
      <c r="O125" s="319"/>
      <c r="P125" s="319"/>
      <c r="Q125" s="1313"/>
      <c r="R125" s="1313"/>
      <c r="S125" s="319"/>
      <c r="T125" s="319"/>
      <c r="U125" s="319"/>
      <c r="V125" s="319"/>
      <c r="W125" s="319"/>
      <c r="X125" s="319"/>
      <c r="Y125" s="319"/>
      <c r="Z125" s="319"/>
      <c r="AA125" s="319"/>
      <c r="AB125" s="319"/>
      <c r="AC125" s="319"/>
      <c r="AD125" s="319"/>
      <c r="AE125" s="319"/>
      <c r="AF125" s="319"/>
      <c r="AG125" s="319"/>
      <c r="AH125" s="319"/>
      <c r="AI125" s="319"/>
      <c r="AJ125" s="319"/>
      <c r="AK125" s="319"/>
      <c r="AL125" s="319"/>
      <c r="AM125" s="319"/>
      <c r="AN125" s="319"/>
      <c r="AO125" s="319"/>
      <c r="AP125" s="319"/>
      <c r="AQ125" s="319"/>
      <c r="AR125" s="319"/>
      <c r="AS125" s="319"/>
      <c r="AT125" s="319"/>
      <c r="AU125" s="319"/>
      <c r="AV125" s="319"/>
      <c r="AW125" s="319"/>
      <c r="AX125" s="319"/>
      <c r="AY125" s="319"/>
      <c r="AZ125" s="319"/>
      <c r="BA125" s="319"/>
      <c r="BB125" s="319"/>
      <c r="BC125" s="319"/>
      <c r="BD125" s="319"/>
      <c r="BE125" s="319"/>
      <c r="BF125" s="319"/>
      <c r="BG125" s="319"/>
      <c r="BH125" s="319"/>
      <c r="BI125" s="319"/>
    </row>
    <row r="126" spans="2:61" s="258" customFormat="1" ht="15" x14ac:dyDescent="0.25">
      <c r="B126" s="256"/>
      <c r="C126" s="466"/>
      <c r="D126" s="244"/>
      <c r="E126" s="247"/>
      <c r="F126" s="247"/>
      <c r="G126" s="248"/>
      <c r="H126" s="248"/>
      <c r="I126" s="248"/>
      <c r="J126" s="1313"/>
      <c r="K126" s="319"/>
      <c r="L126" s="319"/>
      <c r="M126" s="319"/>
      <c r="N126" s="319"/>
      <c r="O126" s="319"/>
      <c r="P126" s="319"/>
      <c r="Q126" s="1313"/>
      <c r="R126" s="1313"/>
      <c r="S126" s="319"/>
      <c r="T126" s="319"/>
      <c r="U126" s="319"/>
      <c r="V126" s="319"/>
      <c r="W126" s="319"/>
      <c r="X126" s="319"/>
      <c r="Y126" s="319"/>
      <c r="Z126" s="319"/>
      <c r="AA126" s="319"/>
      <c r="AB126" s="319"/>
      <c r="AC126" s="319"/>
      <c r="AD126" s="319"/>
      <c r="AE126" s="319"/>
      <c r="AF126" s="319"/>
      <c r="AG126" s="319"/>
      <c r="AH126" s="319"/>
      <c r="AI126" s="319"/>
      <c r="AJ126" s="319"/>
      <c r="AK126" s="319"/>
      <c r="AL126" s="319"/>
      <c r="AM126" s="319"/>
      <c r="AN126" s="319"/>
      <c r="AO126" s="319"/>
      <c r="AP126" s="319"/>
      <c r="AQ126" s="319"/>
      <c r="AR126" s="319"/>
      <c r="AS126" s="319"/>
      <c r="AT126" s="319"/>
      <c r="AU126" s="319"/>
      <c r="AV126" s="319"/>
      <c r="AW126" s="319"/>
      <c r="AX126" s="319"/>
      <c r="AY126" s="319"/>
      <c r="AZ126" s="319"/>
      <c r="BA126" s="319"/>
      <c r="BB126" s="319"/>
      <c r="BC126" s="319"/>
      <c r="BD126" s="319"/>
      <c r="BE126" s="319"/>
      <c r="BF126" s="319"/>
      <c r="BG126" s="319"/>
      <c r="BH126" s="319"/>
      <c r="BI126" s="319"/>
    </row>
    <row r="127" spans="2:61" s="972" customFormat="1" ht="18.75" x14ac:dyDescent="0.3">
      <c r="B127" s="1752" t="s">
        <v>171</v>
      </c>
      <c r="C127" s="1752"/>
      <c r="D127" s="1752"/>
      <c r="E127" s="1752"/>
      <c r="F127" s="1752"/>
      <c r="G127" s="1752"/>
      <c r="H127" s="971"/>
      <c r="I127" s="971"/>
      <c r="J127" s="971"/>
      <c r="K127" s="971"/>
      <c r="L127" s="971"/>
      <c r="M127" s="971"/>
    </row>
    <row r="128" spans="2:61" hidden="1" x14ac:dyDescent="0.2"/>
    <row r="129" spans="2:9" hidden="1" x14ac:dyDescent="0.2"/>
    <row r="130" spans="2:9" hidden="1" x14ac:dyDescent="0.2"/>
    <row r="131" spans="2:9" hidden="1" x14ac:dyDescent="0.2"/>
    <row r="132" spans="2:9" hidden="1" x14ac:dyDescent="0.2"/>
    <row r="133" spans="2:9" hidden="1" x14ac:dyDescent="0.2"/>
    <row r="134" spans="2:9" hidden="1" x14ac:dyDescent="0.2">
      <c r="C134" s="339" t="s">
        <v>452</v>
      </c>
      <c r="D134" s="339"/>
      <c r="E134" s="339"/>
      <c r="F134" s="339" t="s">
        <v>635</v>
      </c>
      <c r="G134" s="380"/>
      <c r="H134" s="380"/>
    </row>
    <row r="135" spans="2:9" hidden="1" x14ac:dyDescent="0.2">
      <c r="B135" s="280" t="s">
        <v>85</v>
      </c>
      <c r="C135" s="347" t="s">
        <v>447</v>
      </c>
      <c r="D135" s="347"/>
      <c r="E135" s="347"/>
      <c r="F135" s="347" t="s">
        <v>447</v>
      </c>
      <c r="G135" s="347"/>
      <c r="H135" s="347"/>
      <c r="I135" s="1491" t="s">
        <v>495</v>
      </c>
    </row>
    <row r="136" spans="2:9" ht="17.25" hidden="1" x14ac:dyDescent="0.2">
      <c r="B136" s="1492" t="s">
        <v>443</v>
      </c>
      <c r="C136" s="382">
        <f t="shared" ref="C136:C141" si="23">K20</f>
        <v>0</v>
      </c>
      <c r="D136" s="382"/>
      <c r="E136" s="382"/>
      <c r="F136" s="382">
        <f t="shared" ref="F136:F141" si="24">L20</f>
        <v>0</v>
      </c>
      <c r="G136" s="382"/>
      <c r="H136" s="382"/>
      <c r="I136" s="382">
        <f>SUM(F136:H136)</f>
        <v>0</v>
      </c>
    </row>
    <row r="137" spans="2:9" ht="17.25" hidden="1" x14ac:dyDescent="0.2">
      <c r="B137" s="1492" t="s">
        <v>444</v>
      </c>
      <c r="C137" s="382">
        <f t="shared" si="23"/>
        <v>0</v>
      </c>
      <c r="D137" s="382"/>
      <c r="E137" s="382"/>
      <c r="F137" s="382">
        <f t="shared" si="24"/>
        <v>0</v>
      </c>
      <c r="G137" s="382"/>
      <c r="H137" s="382"/>
      <c r="I137" s="382">
        <f t="shared" ref="I137:I142" si="25">SUM(F137:H137)</f>
        <v>0</v>
      </c>
    </row>
    <row r="138" spans="2:9" ht="17.25" hidden="1" x14ac:dyDescent="0.2">
      <c r="B138" s="1492" t="s">
        <v>145</v>
      </c>
      <c r="C138" s="382">
        <f t="shared" si="23"/>
        <v>0</v>
      </c>
      <c r="D138" s="382"/>
      <c r="E138" s="382"/>
      <c r="F138" s="382">
        <f t="shared" si="24"/>
        <v>0</v>
      </c>
      <c r="G138" s="382"/>
      <c r="H138" s="382"/>
      <c r="I138" s="382">
        <f t="shared" si="25"/>
        <v>0</v>
      </c>
    </row>
    <row r="139" spans="2:9" ht="17.25" hidden="1" x14ac:dyDescent="0.2">
      <c r="B139" s="1492" t="s">
        <v>445</v>
      </c>
      <c r="C139" s="382">
        <f t="shared" si="23"/>
        <v>0</v>
      </c>
      <c r="D139" s="382"/>
      <c r="E139" s="382"/>
      <c r="F139" s="382">
        <f t="shared" si="24"/>
        <v>0</v>
      </c>
      <c r="G139" s="382"/>
      <c r="H139" s="382"/>
      <c r="I139" s="382">
        <f t="shared" si="25"/>
        <v>0</v>
      </c>
    </row>
    <row r="140" spans="2:9" ht="17.25" hidden="1" x14ac:dyDescent="0.2">
      <c r="B140" s="1492" t="s">
        <v>158</v>
      </c>
      <c r="C140" s="382">
        <f t="shared" si="23"/>
        <v>0</v>
      </c>
      <c r="D140" s="382"/>
      <c r="E140" s="382"/>
      <c r="F140" s="382">
        <f t="shared" si="24"/>
        <v>0</v>
      </c>
      <c r="G140" s="382"/>
      <c r="H140" s="382"/>
      <c r="I140" s="382">
        <f t="shared" si="25"/>
        <v>0</v>
      </c>
    </row>
    <row r="141" spans="2:9" ht="17.25" hidden="1" x14ac:dyDescent="0.2">
      <c r="B141" s="1492" t="s">
        <v>446</v>
      </c>
      <c r="C141" s="382">
        <f t="shared" si="23"/>
        <v>0</v>
      </c>
      <c r="D141" s="382"/>
      <c r="E141" s="382"/>
      <c r="F141" s="382">
        <f t="shared" si="24"/>
        <v>0</v>
      </c>
      <c r="G141" s="382"/>
      <c r="H141" s="382"/>
      <c r="I141" s="382">
        <f t="shared" si="25"/>
        <v>0</v>
      </c>
    </row>
    <row r="142" spans="2:9" ht="15" hidden="1" x14ac:dyDescent="0.2">
      <c r="B142" s="1493" t="s">
        <v>453</v>
      </c>
      <c r="C142" s="338">
        <f>SUM(C136:C141)</f>
        <v>0</v>
      </c>
      <c r="D142" s="338"/>
      <c r="E142" s="338"/>
      <c r="F142" s="338">
        <f t="shared" ref="F142" si="26">SUM(F136:F141)</f>
        <v>0</v>
      </c>
      <c r="G142" s="338"/>
      <c r="H142" s="338"/>
      <c r="I142" s="338">
        <f t="shared" si="25"/>
        <v>0</v>
      </c>
    </row>
    <row r="143" spans="2:9" hidden="1" x14ac:dyDescent="0.2"/>
    <row r="144" spans="2:9" hidden="1" x14ac:dyDescent="0.2">
      <c r="C144" s="339" t="s">
        <v>452</v>
      </c>
      <c r="D144" s="339"/>
      <c r="E144" s="339"/>
      <c r="F144" s="339" t="s">
        <v>635</v>
      </c>
      <c r="G144" s="380"/>
      <c r="H144" s="380"/>
    </row>
    <row r="145" spans="2:15" hidden="1" x14ac:dyDescent="0.2">
      <c r="B145" s="280" t="s">
        <v>450</v>
      </c>
      <c r="C145" s="347" t="s">
        <v>447</v>
      </c>
      <c r="D145" s="347"/>
      <c r="E145" s="347"/>
      <c r="F145" s="347" t="s">
        <v>447</v>
      </c>
      <c r="G145" s="347"/>
      <c r="H145" s="347"/>
      <c r="I145" s="1491" t="s">
        <v>495</v>
      </c>
    </row>
    <row r="146" spans="2:15" ht="17.25" hidden="1" x14ac:dyDescent="0.2">
      <c r="B146" s="1492" t="s">
        <v>61</v>
      </c>
      <c r="C146" s="382">
        <f>E41</f>
        <v>0</v>
      </c>
      <c r="D146" s="382"/>
      <c r="E146" s="382"/>
      <c r="F146" s="382">
        <f>F41</f>
        <v>0</v>
      </c>
      <c r="G146" s="382"/>
      <c r="H146" s="382"/>
      <c r="I146" s="382">
        <f>SUM(F146:H146)</f>
        <v>0</v>
      </c>
    </row>
    <row r="147" spans="2:15" ht="17.25" hidden="1" x14ac:dyDescent="0.2">
      <c r="B147" s="1492" t="s">
        <v>64</v>
      </c>
      <c r="C147" s="382">
        <f>E42</f>
        <v>0</v>
      </c>
      <c r="D147" s="382"/>
      <c r="E147" s="382"/>
      <c r="F147" s="382">
        <f>F42</f>
        <v>0</v>
      </c>
      <c r="G147" s="382"/>
      <c r="H147" s="382"/>
      <c r="I147" s="382">
        <f t="shared" ref="I147:I153" si="27">SUM(F147:H147)</f>
        <v>0</v>
      </c>
    </row>
    <row r="148" spans="2:15" ht="17.25" hidden="1" x14ac:dyDescent="0.2">
      <c r="B148" s="1492" t="s">
        <v>65</v>
      </c>
      <c r="C148" s="382">
        <f>E43</f>
        <v>0</v>
      </c>
      <c r="D148" s="382"/>
      <c r="E148" s="382"/>
      <c r="F148" s="382">
        <f>F43</f>
        <v>0</v>
      </c>
      <c r="G148" s="382"/>
      <c r="H148" s="382"/>
      <c r="I148" s="382">
        <f t="shared" si="27"/>
        <v>0</v>
      </c>
    </row>
    <row r="149" spans="2:15" ht="17.25" hidden="1" x14ac:dyDescent="0.2">
      <c r="B149" s="1492" t="s">
        <v>69</v>
      </c>
      <c r="C149" s="382">
        <f>E44</f>
        <v>0</v>
      </c>
      <c r="D149" s="382"/>
      <c r="E149" s="382"/>
      <c r="F149" s="382">
        <f>F44</f>
        <v>0</v>
      </c>
      <c r="G149" s="382"/>
      <c r="H149" s="382"/>
      <c r="I149" s="382">
        <f>SUM(F149:H149)</f>
        <v>0</v>
      </c>
    </row>
    <row r="150" spans="2:15" ht="17.25" hidden="1" x14ac:dyDescent="0.2">
      <c r="B150" s="1492" t="s">
        <v>66</v>
      </c>
      <c r="C150" s="382">
        <f>E45</f>
        <v>0</v>
      </c>
      <c r="D150" s="382"/>
      <c r="E150" s="382"/>
      <c r="F150" s="382">
        <f>F45</f>
        <v>0</v>
      </c>
      <c r="G150" s="382"/>
      <c r="H150" s="382"/>
      <c r="I150" s="382">
        <f t="shared" si="27"/>
        <v>0</v>
      </c>
    </row>
    <row r="151" spans="2:15" ht="17.25" hidden="1" x14ac:dyDescent="0.2">
      <c r="B151" s="1492" t="s">
        <v>68</v>
      </c>
      <c r="C151" s="382">
        <f t="shared" ref="C151:C152" si="28">E47</f>
        <v>0</v>
      </c>
      <c r="D151" s="382"/>
      <c r="E151" s="382"/>
      <c r="F151" s="382">
        <f t="shared" ref="F151:F152" si="29">F47</f>
        <v>0</v>
      </c>
      <c r="G151" s="382"/>
      <c r="H151" s="382"/>
      <c r="I151" s="382">
        <f t="shared" si="27"/>
        <v>0</v>
      </c>
    </row>
    <row r="152" spans="2:15" ht="17.25" hidden="1" x14ac:dyDescent="0.2">
      <c r="B152" s="1492" t="s">
        <v>70</v>
      </c>
      <c r="C152" s="382">
        <f t="shared" si="28"/>
        <v>0</v>
      </c>
      <c r="D152" s="382"/>
      <c r="E152" s="382"/>
      <c r="F152" s="382">
        <f t="shared" si="29"/>
        <v>0</v>
      </c>
      <c r="G152" s="382"/>
      <c r="H152" s="382"/>
      <c r="I152" s="382">
        <f t="shared" si="27"/>
        <v>0</v>
      </c>
    </row>
    <row r="153" spans="2:15" ht="15" hidden="1" x14ac:dyDescent="0.2">
      <c r="B153" s="1493" t="s">
        <v>453</v>
      </c>
      <c r="C153" s="338">
        <f>SUM(C146:C152)</f>
        <v>0</v>
      </c>
      <c r="D153" s="338"/>
      <c r="E153" s="338"/>
      <c r="F153" s="338">
        <f t="shared" ref="F153" si="30">SUM(F146:F152)</f>
        <v>0</v>
      </c>
      <c r="G153" s="338"/>
      <c r="H153" s="338"/>
      <c r="I153" s="338">
        <f t="shared" si="27"/>
        <v>0</v>
      </c>
    </row>
    <row r="154" spans="2:15" hidden="1" x14ac:dyDescent="0.2"/>
    <row r="155" spans="2:15" hidden="1" x14ac:dyDescent="0.2"/>
    <row r="156" spans="2:15" hidden="1" x14ac:dyDescent="0.2">
      <c r="C156" s="339" t="s">
        <v>455</v>
      </c>
      <c r="D156" s="339"/>
      <c r="E156" s="339"/>
      <c r="F156" s="339" t="s">
        <v>635</v>
      </c>
      <c r="G156" s="380"/>
      <c r="H156" s="380"/>
      <c r="M156" s="339" t="s">
        <v>632</v>
      </c>
      <c r="N156" s="380"/>
      <c r="O156" s="380"/>
    </row>
    <row r="157" spans="2:15" hidden="1" x14ac:dyDescent="0.2">
      <c r="C157" s="484" t="s">
        <v>447</v>
      </c>
      <c r="D157" s="484"/>
      <c r="E157" s="484"/>
      <c r="F157" s="484" t="s">
        <v>447</v>
      </c>
      <c r="G157" s="484"/>
      <c r="H157" s="484"/>
      <c r="I157" s="1491" t="s">
        <v>495</v>
      </c>
      <c r="M157" s="347" t="s">
        <v>447</v>
      </c>
      <c r="N157" s="347"/>
      <c r="O157" s="347"/>
    </row>
    <row r="158" spans="2:15" hidden="1" x14ac:dyDescent="0.2">
      <c r="B158" s="487" t="s">
        <v>454</v>
      </c>
      <c r="C158" s="382">
        <f>F158/365</f>
        <v>0</v>
      </c>
      <c r="D158" s="382"/>
      <c r="E158" s="382"/>
      <c r="F158" s="382">
        <f>E89</f>
        <v>0</v>
      </c>
      <c r="G158" s="488"/>
      <c r="H158" s="488"/>
      <c r="I158" s="488">
        <f>SUM(F158:H158)</f>
        <v>0</v>
      </c>
      <c r="K158" s="1494"/>
      <c r="L158" s="1495" t="s">
        <v>633</v>
      </c>
      <c r="M158" s="382">
        <f>L27</f>
        <v>0</v>
      </c>
      <c r="N158" s="382"/>
      <c r="O158" s="382"/>
    </row>
    <row r="159" spans="2:15" hidden="1" x14ac:dyDescent="0.2">
      <c r="B159" s="487" t="s">
        <v>133</v>
      </c>
      <c r="C159" s="382">
        <f>F159/365</f>
        <v>0</v>
      </c>
      <c r="D159" s="382"/>
      <c r="E159" s="382"/>
      <c r="F159" s="382">
        <f>C110</f>
        <v>0</v>
      </c>
      <c r="G159" s="488"/>
      <c r="H159" s="488"/>
      <c r="I159" s="488">
        <f t="shared" ref="I159:I162" si="31">SUM(F159:H159)</f>
        <v>0</v>
      </c>
      <c r="K159" s="1494"/>
      <c r="L159" s="1495" t="s">
        <v>634</v>
      </c>
      <c r="M159" s="382">
        <f>F50</f>
        <v>0</v>
      </c>
      <c r="N159" s="382"/>
      <c r="O159" s="382"/>
    </row>
    <row r="160" spans="2:15" hidden="1" x14ac:dyDescent="0.2">
      <c r="B160" s="487" t="s">
        <v>120</v>
      </c>
      <c r="C160" s="382">
        <f t="shared" ref="C160:C161" si="32">F160/365</f>
        <v>0</v>
      </c>
      <c r="D160" s="382"/>
      <c r="E160" s="382"/>
      <c r="F160" s="382">
        <f>C117</f>
        <v>0</v>
      </c>
      <c r="G160" s="488"/>
      <c r="H160" s="488"/>
      <c r="I160" s="488">
        <f t="shared" si="31"/>
        <v>0</v>
      </c>
      <c r="K160" s="1494"/>
      <c r="L160" s="1495" t="s">
        <v>210</v>
      </c>
      <c r="M160" s="382">
        <f>C124</f>
        <v>0</v>
      </c>
      <c r="N160" s="382"/>
      <c r="O160" s="382"/>
    </row>
    <row r="161" spans="2:18" hidden="1" x14ac:dyDescent="0.2">
      <c r="B161" s="487" t="s">
        <v>10</v>
      </c>
      <c r="C161" s="382">
        <f t="shared" si="32"/>
        <v>0</v>
      </c>
      <c r="D161" s="382"/>
      <c r="E161" s="382"/>
      <c r="F161" s="382">
        <f>C122</f>
        <v>0</v>
      </c>
      <c r="G161" s="488"/>
      <c r="H161" s="488"/>
      <c r="I161" s="488">
        <f t="shared" si="31"/>
        <v>0</v>
      </c>
    </row>
    <row r="162" spans="2:18" hidden="1" x14ac:dyDescent="0.2">
      <c r="B162" s="1496" t="s">
        <v>19</v>
      </c>
      <c r="C162" s="338">
        <f>SUM(C158:C161)</f>
        <v>0</v>
      </c>
      <c r="D162" s="338"/>
      <c r="E162" s="338"/>
      <c r="F162" s="338">
        <f t="shared" ref="F162" si="33">SUM(F158:F161)</f>
        <v>0</v>
      </c>
      <c r="G162" s="338"/>
      <c r="H162" s="338"/>
      <c r="I162" s="489">
        <f t="shared" si="31"/>
        <v>0</v>
      </c>
    </row>
    <row r="163" spans="2:18" hidden="1" x14ac:dyDescent="0.2"/>
    <row r="164" spans="2:18" hidden="1" x14ac:dyDescent="0.2">
      <c r="B164" s="1497" t="s">
        <v>471</v>
      </c>
      <c r="C164" s="1498">
        <f>SUM(C142,C153,C162)</f>
        <v>0</v>
      </c>
      <c r="D164" s="1498">
        <f t="shared" ref="D164:I164" si="34">SUM(D142,D153,D162)</f>
        <v>0</v>
      </c>
      <c r="E164" s="1498">
        <f t="shared" si="34"/>
        <v>0</v>
      </c>
      <c r="F164" s="1498">
        <f t="shared" si="34"/>
        <v>0</v>
      </c>
      <c r="G164" s="1498">
        <f t="shared" si="34"/>
        <v>0</v>
      </c>
      <c r="H164" s="1498">
        <f t="shared" si="34"/>
        <v>0</v>
      </c>
      <c r="I164" s="1498">
        <f t="shared" si="34"/>
        <v>0</v>
      </c>
    </row>
    <row r="165" spans="2:18" hidden="1" x14ac:dyDescent="0.2"/>
    <row r="166" spans="2:18" hidden="1" x14ac:dyDescent="0.2"/>
    <row r="167" spans="2:18" s="390" customFormat="1" ht="26.25" hidden="1" x14ac:dyDescent="0.25">
      <c r="B167" s="1499" t="str">
        <f>'1. Building Information'!$B$53</f>
        <v>SITE: Project Name -- Project Address</v>
      </c>
      <c r="C167" s="1500" t="s">
        <v>469</v>
      </c>
      <c r="D167" s="1501" t="s">
        <v>28</v>
      </c>
      <c r="E167" s="1501" t="s">
        <v>29</v>
      </c>
      <c r="F167" s="1501" t="s">
        <v>30</v>
      </c>
      <c r="G167" s="1501" t="s">
        <v>31</v>
      </c>
      <c r="H167" s="1501" t="s">
        <v>32</v>
      </c>
      <c r="I167" s="1501" t="s">
        <v>33</v>
      </c>
      <c r="J167" s="1501" t="s">
        <v>8</v>
      </c>
      <c r="K167" s="1501" t="s">
        <v>9</v>
      </c>
      <c r="L167" s="1501" t="s">
        <v>0</v>
      </c>
      <c r="M167" s="1501" t="s">
        <v>2</v>
      </c>
      <c r="N167" s="1501" t="s">
        <v>3</v>
      </c>
      <c r="O167" s="1502" t="s">
        <v>4</v>
      </c>
    </row>
    <row r="168" spans="2:18" ht="15" hidden="1" x14ac:dyDescent="0.25">
      <c r="B168" s="1503" t="s">
        <v>467</v>
      </c>
      <c r="C168" s="1504">
        <f>SUM(D168:O168)</f>
        <v>0</v>
      </c>
      <c r="D168" s="382">
        <f>($F$142+$F$153)/12</f>
        <v>0</v>
      </c>
      <c r="E168" s="382">
        <f>($F$142+$F$153)/12</f>
        <v>0</v>
      </c>
      <c r="F168" s="382">
        <f t="shared" ref="F168:O168" si="35">($F$142+$F$153)/12</f>
        <v>0</v>
      </c>
      <c r="G168" s="382">
        <f t="shared" si="35"/>
        <v>0</v>
      </c>
      <c r="H168" s="382">
        <f t="shared" si="35"/>
        <v>0</v>
      </c>
      <c r="I168" s="382">
        <f t="shared" si="35"/>
        <v>0</v>
      </c>
      <c r="J168" s="382">
        <f t="shared" si="35"/>
        <v>0</v>
      </c>
      <c r="K168" s="382">
        <f t="shared" si="35"/>
        <v>0</v>
      </c>
      <c r="L168" s="382">
        <f t="shared" si="35"/>
        <v>0</v>
      </c>
      <c r="M168" s="382">
        <f t="shared" si="35"/>
        <v>0</v>
      </c>
      <c r="N168" s="382">
        <f t="shared" si="35"/>
        <v>0</v>
      </c>
      <c r="O168" s="382">
        <f t="shared" si="35"/>
        <v>0</v>
      </c>
    </row>
    <row r="169" spans="2:18" ht="15" hidden="1" x14ac:dyDescent="0.25">
      <c r="B169" s="1503" t="s">
        <v>132</v>
      </c>
      <c r="C169" s="1504">
        <f t="shared" ref="C169:C170" si="36">SUM(D169:O169)</f>
        <v>0</v>
      </c>
      <c r="D169" s="382">
        <f t="shared" ref="D169:O169" si="37">F89</f>
        <v>0</v>
      </c>
      <c r="E169" s="382">
        <f t="shared" si="37"/>
        <v>0</v>
      </c>
      <c r="F169" s="382">
        <f t="shared" si="37"/>
        <v>0</v>
      </c>
      <c r="G169" s="382">
        <f t="shared" si="37"/>
        <v>0</v>
      </c>
      <c r="H169" s="382">
        <f t="shared" si="37"/>
        <v>0</v>
      </c>
      <c r="I169" s="382">
        <f t="shared" si="37"/>
        <v>0</v>
      </c>
      <c r="J169" s="382">
        <f t="shared" si="37"/>
        <v>0</v>
      </c>
      <c r="K169" s="382">
        <f t="shared" si="37"/>
        <v>0</v>
      </c>
      <c r="L169" s="382">
        <f t="shared" si="37"/>
        <v>0</v>
      </c>
      <c r="M169" s="382">
        <f t="shared" si="37"/>
        <v>0</v>
      </c>
      <c r="N169" s="382">
        <f t="shared" si="37"/>
        <v>0</v>
      </c>
      <c r="O169" s="382">
        <f t="shared" si="37"/>
        <v>0</v>
      </c>
    </row>
    <row r="170" spans="2:18" ht="15" hidden="1" x14ac:dyDescent="0.25">
      <c r="B170" s="1503" t="s">
        <v>468</v>
      </c>
      <c r="C170" s="1504">
        <f t="shared" si="36"/>
        <v>0</v>
      </c>
      <c r="D170" s="382">
        <f>(SUM($F$159:$F$161)/12)</f>
        <v>0</v>
      </c>
      <c r="E170" s="382">
        <f t="shared" ref="E170:O170" si="38">(SUM($F$159:$F$161)/12)</f>
        <v>0</v>
      </c>
      <c r="F170" s="382">
        <f t="shared" si="38"/>
        <v>0</v>
      </c>
      <c r="G170" s="382">
        <f t="shared" si="38"/>
        <v>0</v>
      </c>
      <c r="H170" s="382">
        <f t="shared" si="38"/>
        <v>0</v>
      </c>
      <c r="I170" s="382">
        <f t="shared" si="38"/>
        <v>0</v>
      </c>
      <c r="J170" s="382">
        <f t="shared" si="38"/>
        <v>0</v>
      </c>
      <c r="K170" s="382">
        <f t="shared" si="38"/>
        <v>0</v>
      </c>
      <c r="L170" s="382">
        <f t="shared" si="38"/>
        <v>0</v>
      </c>
      <c r="M170" s="382">
        <f t="shared" si="38"/>
        <v>0</v>
      </c>
      <c r="N170" s="382">
        <f t="shared" si="38"/>
        <v>0</v>
      </c>
      <c r="O170" s="382">
        <f t="shared" si="38"/>
        <v>0</v>
      </c>
    </row>
    <row r="171" spans="2:18" s="280" customFormat="1" ht="15" hidden="1" x14ac:dyDescent="0.25">
      <c r="B171" s="1505" t="s">
        <v>470</v>
      </c>
      <c r="C171" s="1504">
        <f>SUM(C168:C170)</f>
        <v>0</v>
      </c>
      <c r="D171" s="338">
        <f t="shared" ref="D171:O171" si="39">SUM(D168:D170)</f>
        <v>0</v>
      </c>
      <c r="E171" s="338">
        <f t="shared" si="39"/>
        <v>0</v>
      </c>
      <c r="F171" s="338">
        <f t="shared" si="39"/>
        <v>0</v>
      </c>
      <c r="G171" s="338">
        <f t="shared" si="39"/>
        <v>0</v>
      </c>
      <c r="H171" s="338">
        <f t="shared" si="39"/>
        <v>0</v>
      </c>
      <c r="I171" s="338">
        <f t="shared" si="39"/>
        <v>0</v>
      </c>
      <c r="J171" s="338">
        <f t="shared" si="39"/>
        <v>0</v>
      </c>
      <c r="K171" s="338">
        <f t="shared" si="39"/>
        <v>0</v>
      </c>
      <c r="L171" s="338">
        <f t="shared" si="39"/>
        <v>0</v>
      </c>
      <c r="M171" s="338">
        <f t="shared" si="39"/>
        <v>0</v>
      </c>
      <c r="N171" s="338">
        <f t="shared" si="39"/>
        <v>0</v>
      </c>
      <c r="O171" s="338">
        <f t="shared" si="39"/>
        <v>0</v>
      </c>
      <c r="Q171" s="1506"/>
      <c r="R171" s="1506"/>
    </row>
    <row r="172" spans="2:18" x14ac:dyDescent="0.2">
      <c r="C172" s="1506"/>
      <c r="E172" s="390"/>
      <c r="G172" s="281"/>
      <c r="J172" s="391"/>
      <c r="K172" s="390"/>
    </row>
    <row r="173" spans="2:18" x14ac:dyDescent="0.2">
      <c r="C173" s="1506"/>
      <c r="E173" s="390"/>
      <c r="G173" s="281"/>
      <c r="J173" s="391"/>
      <c r="K173" s="390"/>
    </row>
  </sheetData>
  <sheetProtection algorithmName="SHA-512" hashValue="2eFzMmwIom5dAlkpmrnMzTQ9Iv/Ezsfcb73fOGM80WS7Twp+70aByY90S7d7kqCkvL6FdOIFjtQPvLfRMJ7G4g==" saltValue="n1iW7L0VqxT1WHd5AK8yTA==" spinCount="100000" sheet="1" objects="1" scenarios="1" selectLockedCells="1"/>
  <customSheetViews>
    <customSheetView guid="{27ECCA9D-8222-4026-A3C8-C768CAE028E0}" scale="70" fitToPage="1" hiddenRows="1" hiddenColumns="1">
      <selection activeCell="K7" sqref="K7"/>
      <rowBreaks count="2" manualBreakCount="2">
        <brk id="59" max="16" man="1"/>
        <brk id="160" max="16" man="1"/>
      </rowBreaks>
      <pageMargins left="0.25" right="0.25" top="0.75" bottom="0.75" header="0.3" footer="0.3"/>
      <pageSetup paperSize="17" scale="45" orientation="portrait" r:id="rId1"/>
      <headerFooter>
        <oddFooter>&amp;LApril 2014&amp;C&amp;A&amp;RPage &amp;P of &amp;N</oddFooter>
      </headerFooter>
    </customSheetView>
    <customSheetView guid="{D635BEAF-4410-44C3-8109-399BEE34BBD8}" scale="70" fitToPage="1" hiddenRows="1" hiddenColumns="1">
      <selection activeCell="B47" sqref="B47"/>
      <rowBreaks count="2" manualBreakCount="2">
        <brk id="59" max="16" man="1"/>
        <brk id="160" max="16" man="1"/>
      </rowBreaks>
      <pageMargins left="0.25" right="0.25" top="0.75" bottom="0.75" header="0.3" footer="0.3"/>
      <pageSetup paperSize="17" scale="45" orientation="portrait" r:id="rId2"/>
      <headerFooter>
        <oddFooter>&amp;LApril 2014&amp;C&amp;A&amp;RPage &amp;P of &amp;N</oddFooter>
      </headerFooter>
    </customSheetView>
  </customSheetViews>
  <mergeCells count="30">
    <mergeCell ref="B127:G127"/>
    <mergeCell ref="C63:D63"/>
    <mergeCell ref="C75:D75"/>
    <mergeCell ref="C76:D76"/>
    <mergeCell ref="B113:B117"/>
    <mergeCell ref="C71:D71"/>
    <mergeCell ref="C72:D72"/>
    <mergeCell ref="C73:D73"/>
    <mergeCell ref="C68:D68"/>
    <mergeCell ref="C74:D74"/>
    <mergeCell ref="C107:D107"/>
    <mergeCell ref="B8:E11"/>
    <mergeCell ref="C65:D65"/>
    <mergeCell ref="C66:D66"/>
    <mergeCell ref="C67:D67"/>
    <mergeCell ref="C64:D64"/>
    <mergeCell ref="C61:D61"/>
    <mergeCell ref="C62:D62"/>
    <mergeCell ref="B26:H26"/>
    <mergeCell ref="B50:C50"/>
    <mergeCell ref="B49:C49"/>
    <mergeCell ref="I27:J27"/>
    <mergeCell ref="C70:D70"/>
    <mergeCell ref="B12:E12"/>
    <mergeCell ref="B27:H27"/>
    <mergeCell ref="C77:D77"/>
    <mergeCell ref="C69:D69"/>
    <mergeCell ref="H58:S58"/>
    <mergeCell ref="I18:M18"/>
    <mergeCell ref="D39:G39"/>
  </mergeCells>
  <dataValidations disablePrompts="1" count="1">
    <dataValidation type="list" allowBlank="1" showInputMessage="1" showErrorMessage="1" sqref="F62:F77">
      <formula1>$AI$6:$AI$7</formula1>
    </dataValidation>
  </dataValidations>
  <pageMargins left="0.25" right="0.25" top="0.75" bottom="0.75" header="0.3" footer="0.3"/>
  <pageSetup paperSize="17" scale="21" orientation="landscape" r:id="rId3"/>
  <headerFooter>
    <oddFooter>&amp;LApril 2014&amp;C&amp;A&amp;RPage &amp;P of &amp;N</oddFooter>
  </headerFooter>
  <rowBreaks count="2" manualBreakCount="2">
    <brk id="54" max="16" man="1"/>
    <brk id="155" max="16" man="1"/>
  </rowBreaks>
  <legacyDrawing r:id="rId4"/>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A1:BL161"/>
  <sheetViews>
    <sheetView topLeftCell="A64" zoomScale="55" zoomScaleNormal="55" zoomScaleSheetLayoutView="40" workbookViewId="0">
      <selection activeCell="C99" activeCellId="6" sqref="G26 O27 G45 O46 C57:N57 C60:N60 C99:D101"/>
    </sheetView>
  </sheetViews>
  <sheetFormatPr defaultRowHeight="12.75" x14ac:dyDescent="0.2"/>
  <cols>
    <col min="1" max="1" width="2.7109375" style="281" customWidth="1"/>
    <col min="2" max="2" width="49" style="281" customWidth="1"/>
    <col min="3" max="3" width="22.85546875" style="281" customWidth="1"/>
    <col min="4" max="4" width="21.28515625" style="281" customWidth="1"/>
    <col min="5" max="5" width="16.85546875" style="281" customWidth="1"/>
    <col min="6" max="6" width="17" style="281" customWidth="1"/>
    <col min="7" max="7" width="14.7109375" style="281" customWidth="1"/>
    <col min="8" max="8" width="18.28515625" style="281" customWidth="1"/>
    <col min="9" max="9" width="14.140625" style="281" customWidth="1"/>
    <col min="10" max="10" width="15" style="281" customWidth="1"/>
    <col min="11" max="11" width="24.5703125" style="281" customWidth="1"/>
    <col min="12" max="12" width="22.85546875" style="281" customWidth="1"/>
    <col min="13" max="13" width="12" style="281" customWidth="1"/>
    <col min="14" max="14" width="14.7109375" style="281" customWidth="1"/>
    <col min="15" max="15" width="17.7109375" style="281" bestFit="1" customWidth="1"/>
    <col min="16" max="16" width="16" style="281" customWidth="1"/>
    <col min="17" max="17" width="16.5703125" style="281" customWidth="1"/>
    <col min="18" max="18" width="16" style="281" customWidth="1"/>
    <col min="19" max="19" width="16.85546875" style="281" customWidth="1"/>
    <col min="20" max="20" width="20.42578125" style="281" customWidth="1"/>
    <col min="21" max="21" width="14.42578125" style="281" customWidth="1"/>
    <col min="22" max="22" width="16.42578125" style="281" customWidth="1"/>
    <col min="23" max="23" width="17.140625" style="281" customWidth="1"/>
    <col min="24" max="24" width="12.85546875" style="281" customWidth="1"/>
    <col min="25" max="25" width="14.28515625" style="281" customWidth="1"/>
    <col min="26" max="57" width="9.140625" style="281"/>
    <col min="58" max="64" width="9.140625" style="281" hidden="1" customWidth="1"/>
    <col min="65" max="16384" width="9.140625" style="281"/>
  </cols>
  <sheetData>
    <row r="1" spans="1:63" s="890" customFormat="1" ht="26.25" x14ac:dyDescent="0.4">
      <c r="A1" s="935" t="s">
        <v>37</v>
      </c>
      <c r="B1" s="889"/>
      <c r="J1" s="889"/>
      <c r="K1" s="889"/>
    </row>
    <row r="2" spans="1:63" s="909" customFormat="1" ht="23.25" x14ac:dyDescent="0.35">
      <c r="A2" s="898" t="s">
        <v>794</v>
      </c>
      <c r="B2" s="908"/>
      <c r="J2" s="908"/>
      <c r="K2" s="908"/>
    </row>
    <row r="3" spans="1:63" s="258" customFormat="1" ht="15" x14ac:dyDescent="0.25">
      <c r="B3" s="259"/>
      <c r="J3" s="259"/>
      <c r="K3" s="259"/>
    </row>
    <row r="4" spans="1:63" s="258" customFormat="1" ht="15" x14ac:dyDescent="0.25">
      <c r="B4" s="911" t="s">
        <v>39</v>
      </c>
      <c r="F4" s="260"/>
      <c r="G4" s="261" t="s">
        <v>38</v>
      </c>
      <c r="H4" s="259"/>
      <c r="J4" s="259"/>
    </row>
    <row r="5" spans="1:63" s="258" customFormat="1" ht="15" x14ac:dyDescent="0.25">
      <c r="B5" s="912" t="str">
        <f>'1. Building Information'!$C$14</f>
        <v>Project Name</v>
      </c>
      <c r="F5" s="247"/>
      <c r="G5" s="262" t="s">
        <v>160</v>
      </c>
      <c r="H5" s="263"/>
      <c r="I5" s="264"/>
      <c r="J5" s="259"/>
      <c r="BG5" s="265" t="s">
        <v>418</v>
      </c>
      <c r="BH5" s="265"/>
      <c r="BJ5" s="265" t="s">
        <v>645</v>
      </c>
      <c r="BK5" s="265"/>
    </row>
    <row r="6" spans="1:63" s="258" customFormat="1" ht="15" x14ac:dyDescent="0.25">
      <c r="B6" s="266"/>
      <c r="F6" s="267"/>
      <c r="G6" s="268" t="s">
        <v>89</v>
      </c>
      <c r="H6" s="269"/>
      <c r="I6" s="270"/>
      <c r="J6" s="259"/>
      <c r="BG6" s="271" t="s">
        <v>92</v>
      </c>
      <c r="BH6" s="272"/>
      <c r="BJ6" s="271" t="s">
        <v>421</v>
      </c>
      <c r="BK6" s="272"/>
    </row>
    <row r="7" spans="1:63" s="273" customFormat="1" ht="15" x14ac:dyDescent="0.25">
      <c r="B7" s="260" t="s">
        <v>56</v>
      </c>
      <c r="C7" s="247"/>
      <c r="D7" s="247"/>
      <c r="E7" s="247"/>
      <c r="F7" s="267"/>
      <c r="G7" s="268" t="s">
        <v>86</v>
      </c>
      <c r="H7" s="269"/>
      <c r="I7" s="274"/>
      <c r="J7" s="275"/>
      <c r="M7" s="258"/>
      <c r="BG7" s="271" t="s">
        <v>102</v>
      </c>
      <c r="BH7" s="272"/>
      <c r="BJ7" s="271" t="s">
        <v>423</v>
      </c>
      <c r="BK7" s="272"/>
    </row>
    <row r="8" spans="1:63" s="258" customFormat="1" ht="15" customHeight="1" x14ac:dyDescent="0.25">
      <c r="B8" s="1784" t="s">
        <v>873</v>
      </c>
      <c r="C8" s="1784"/>
      <c r="D8" s="1784"/>
      <c r="E8" s="1784"/>
      <c r="F8" s="267"/>
      <c r="G8" s="268" t="s">
        <v>87</v>
      </c>
      <c r="H8" s="269"/>
      <c r="I8" s="276"/>
      <c r="J8" s="259"/>
      <c r="M8" s="273"/>
      <c r="BG8" s="271" t="s">
        <v>127</v>
      </c>
      <c r="BH8" s="277"/>
      <c r="BJ8" s="271" t="s">
        <v>422</v>
      </c>
      <c r="BK8" s="277"/>
    </row>
    <row r="9" spans="1:63" s="258" customFormat="1" ht="15" x14ac:dyDescent="0.25">
      <c r="B9" s="1784"/>
      <c r="C9" s="1784"/>
      <c r="D9" s="1784"/>
      <c r="E9" s="1784"/>
      <c r="BG9" s="247"/>
    </row>
    <row r="10" spans="1:63" s="258" customFormat="1" ht="15" x14ac:dyDescent="0.25">
      <c r="B10" s="1784"/>
      <c r="C10" s="1784"/>
      <c r="D10" s="1784"/>
      <c r="E10" s="1784"/>
      <c r="BG10" s="247"/>
    </row>
    <row r="11" spans="1:63" s="258" customFormat="1" ht="48.75" customHeight="1" x14ac:dyDescent="0.25">
      <c r="B11" s="1672" t="s">
        <v>870</v>
      </c>
      <c r="C11" s="1672"/>
      <c r="D11" s="1672"/>
      <c r="E11" s="1672"/>
      <c r="K11" s="247"/>
    </row>
    <row r="12" spans="1:63" s="258" customFormat="1" ht="15" x14ac:dyDescent="0.25">
      <c r="B12" s="244"/>
      <c r="C12" s="247"/>
      <c r="D12" s="247"/>
      <c r="E12" s="247"/>
      <c r="F12" s="247"/>
      <c r="G12" s="247"/>
      <c r="H12" s="247"/>
      <c r="I12" s="247"/>
      <c r="J12" s="259"/>
      <c r="K12" s="259"/>
    </row>
    <row r="13" spans="1:63" s="936" customFormat="1" ht="18.75" x14ac:dyDescent="0.3">
      <c r="B13" s="913" t="s">
        <v>503</v>
      </c>
      <c r="C13" s="920"/>
      <c r="D13" s="920"/>
      <c r="E13" s="920"/>
      <c r="F13" s="920"/>
      <c r="G13" s="920"/>
      <c r="H13" s="920"/>
    </row>
    <row r="14" spans="1:63" s="258" customFormat="1" ht="15.75" thickBot="1" x14ac:dyDescent="0.3">
      <c r="B14" s="244"/>
      <c r="C14" s="247"/>
      <c r="D14" s="247"/>
      <c r="E14" s="247"/>
      <c r="F14" s="247"/>
      <c r="G14" s="247"/>
      <c r="H14" s="247"/>
      <c r="I14" s="247"/>
      <c r="J14" s="259"/>
      <c r="K14" s="259"/>
    </row>
    <row r="15" spans="1:63" s="258" customFormat="1" ht="21.75" customHeight="1" thickBot="1" x14ac:dyDescent="0.3">
      <c r="C15" s="1509" t="s">
        <v>485</v>
      </c>
      <c r="D15" s="1510"/>
      <c r="E15" s="1511"/>
      <c r="F15" s="937"/>
      <c r="G15" s="937"/>
      <c r="H15" s="937"/>
      <c r="I15" s="938"/>
      <c r="K15" s="1512" t="s">
        <v>486</v>
      </c>
      <c r="L15" s="937"/>
      <c r="M15" s="937"/>
      <c r="N15" s="1510"/>
      <c r="O15" s="1510"/>
      <c r="P15" s="937"/>
      <c r="Q15" s="938"/>
    </row>
    <row r="16" spans="1:63" s="278" customFormat="1" ht="75.75" thickBot="1" x14ac:dyDescent="0.25">
      <c r="B16" s="279"/>
      <c r="C16" s="939" t="s">
        <v>697</v>
      </c>
      <c r="D16" s="940" t="s">
        <v>256</v>
      </c>
      <c r="E16" s="940" t="s">
        <v>386</v>
      </c>
      <c r="F16" s="940" t="s">
        <v>436</v>
      </c>
      <c r="G16" s="941" t="s">
        <v>698</v>
      </c>
      <c r="H16" s="942" t="s">
        <v>636</v>
      </c>
      <c r="I16" s="941" t="s">
        <v>74</v>
      </c>
      <c r="K16" s="939" t="s">
        <v>697</v>
      </c>
      <c r="L16" s="940" t="s">
        <v>437</v>
      </c>
      <c r="M16" s="940" t="s">
        <v>387</v>
      </c>
      <c r="N16" s="941" t="s">
        <v>438</v>
      </c>
      <c r="O16" s="941" t="s">
        <v>698</v>
      </c>
      <c r="P16" s="942" t="s">
        <v>506</v>
      </c>
      <c r="Q16" s="941" t="s">
        <v>507</v>
      </c>
      <c r="R16" s="280" t="s">
        <v>151</v>
      </c>
    </row>
    <row r="17" spans="2:18" s="258" customFormat="1" ht="17.25" customHeight="1" x14ac:dyDescent="0.25">
      <c r="B17" s="1513" t="s">
        <v>57</v>
      </c>
      <c r="C17" s="943"/>
      <c r="D17" s="944"/>
      <c r="E17" s="944"/>
      <c r="F17" s="944"/>
      <c r="G17" s="945"/>
      <c r="H17" s="1255"/>
      <c r="I17" s="945"/>
      <c r="K17" s="943"/>
      <c r="L17" s="944"/>
      <c r="M17" s="944"/>
      <c r="N17" s="945"/>
      <c r="O17" s="945"/>
      <c r="P17" s="1255"/>
      <c r="Q17" s="945"/>
      <c r="R17" s="281" t="s">
        <v>156</v>
      </c>
    </row>
    <row r="18" spans="2:18" s="258" customFormat="1" ht="15" x14ac:dyDescent="0.25">
      <c r="B18" s="1514" t="s">
        <v>75</v>
      </c>
      <c r="C18" s="862">
        <f>'2. Indoor Water Demand'!$L$20</f>
        <v>0</v>
      </c>
      <c r="D18" s="283">
        <f>'2. Indoor Water Demand'!$L$20</f>
        <v>0</v>
      </c>
      <c r="E18" s="1515">
        <v>0.9</v>
      </c>
      <c r="F18" s="233">
        <f>E18*D18</f>
        <v>0</v>
      </c>
      <c r="G18" s="284">
        <f>C18*$E18</f>
        <v>0</v>
      </c>
      <c r="H18" s="285">
        <f>'2. Indoor Water Demand'!K20</f>
        <v>0</v>
      </c>
      <c r="I18" s="284">
        <f>H18*E18</f>
        <v>0</v>
      </c>
      <c r="K18" s="282">
        <f>'2. Indoor Water Demand'!$L$20</f>
        <v>0</v>
      </c>
      <c r="L18" s="283">
        <f>'2. Indoor Water Demand'!$L$20</f>
        <v>0</v>
      </c>
      <c r="M18" s="1515">
        <v>0.9</v>
      </c>
      <c r="N18" s="284">
        <f>L18*M18</f>
        <v>0</v>
      </c>
      <c r="O18" s="284">
        <f t="shared" ref="O18:O24" si="0">K18*$M18</f>
        <v>0</v>
      </c>
      <c r="P18" s="285">
        <f>'2. Indoor Water Demand'!K20</f>
        <v>0</v>
      </c>
      <c r="Q18" s="284">
        <f t="shared" ref="Q18:Q24" si="1">P18*M18</f>
        <v>0</v>
      </c>
      <c r="R18" s="281" t="s">
        <v>683</v>
      </c>
    </row>
    <row r="19" spans="2:18" s="258" customFormat="1" ht="15" x14ac:dyDescent="0.25">
      <c r="B19" s="1514" t="s">
        <v>82</v>
      </c>
      <c r="C19" s="862">
        <f>'2. Indoor Water Demand'!$L$21</f>
        <v>0</v>
      </c>
      <c r="D19" s="283">
        <f>'2. Indoor Water Demand'!$L$21</f>
        <v>0</v>
      </c>
      <c r="E19" s="1515">
        <v>0.9</v>
      </c>
      <c r="F19" s="233">
        <f t="shared" ref="F19:F20" si="2">E19*D19</f>
        <v>0</v>
      </c>
      <c r="G19" s="284">
        <f t="shared" ref="G19:G20" si="3">C19*$E19</f>
        <v>0</v>
      </c>
      <c r="H19" s="285">
        <f>'2. Indoor Water Demand'!K21</f>
        <v>0</v>
      </c>
      <c r="I19" s="284">
        <f>H19*E19</f>
        <v>0</v>
      </c>
      <c r="K19" s="282">
        <f>'2. Indoor Water Demand'!$L$21</f>
        <v>0</v>
      </c>
      <c r="L19" s="283">
        <f>'2. Indoor Water Demand'!$L$21</f>
        <v>0</v>
      </c>
      <c r="M19" s="1515">
        <v>0.9</v>
      </c>
      <c r="N19" s="284">
        <f>L19*M19</f>
        <v>0</v>
      </c>
      <c r="O19" s="284">
        <f t="shared" si="0"/>
        <v>0</v>
      </c>
      <c r="P19" s="285">
        <f>'2. Indoor Water Demand'!K21</f>
        <v>0</v>
      </c>
      <c r="Q19" s="284">
        <f t="shared" si="1"/>
        <v>0</v>
      </c>
    </row>
    <row r="20" spans="2:18" s="258" customFormat="1" ht="15" x14ac:dyDescent="0.25">
      <c r="B20" s="1514" t="s">
        <v>120</v>
      </c>
      <c r="C20" s="862">
        <f>'2. Indoor Water Demand'!$C$117</f>
        <v>0</v>
      </c>
      <c r="D20" s="283">
        <f>'2. Indoor Water Demand'!$C$117</f>
        <v>0</v>
      </c>
      <c r="E20" s="1515">
        <v>0.9</v>
      </c>
      <c r="F20" s="233">
        <f t="shared" si="2"/>
        <v>0</v>
      </c>
      <c r="G20" s="284">
        <f t="shared" si="3"/>
        <v>0</v>
      </c>
      <c r="H20" s="282">
        <f>'2. Indoor Water Demand'!C115</f>
        <v>0</v>
      </c>
      <c r="I20" s="284">
        <f>H20*E20</f>
        <v>0</v>
      </c>
      <c r="K20" s="282">
        <f>'2. Indoor Water Demand'!$C$117</f>
        <v>0</v>
      </c>
      <c r="L20" s="283">
        <f>'2. Indoor Water Demand'!$C$117</f>
        <v>0</v>
      </c>
      <c r="M20" s="1515">
        <v>0.9</v>
      </c>
      <c r="N20" s="284">
        <f>L20*M20</f>
        <v>0</v>
      </c>
      <c r="O20" s="284">
        <f t="shared" si="0"/>
        <v>0</v>
      </c>
      <c r="P20" s="285">
        <f>'2. Indoor Water Demand'!C115</f>
        <v>0</v>
      </c>
      <c r="Q20" s="284">
        <f t="shared" si="1"/>
        <v>0</v>
      </c>
    </row>
    <row r="21" spans="2:18" s="258" customFormat="1" ht="15" x14ac:dyDescent="0.25">
      <c r="B21" s="1514" t="s">
        <v>146</v>
      </c>
      <c r="C21" s="282" t="s">
        <v>63</v>
      </c>
      <c r="D21" s="283" t="s">
        <v>63</v>
      </c>
      <c r="E21" s="1516" t="s">
        <v>63</v>
      </c>
      <c r="F21" s="233" t="s">
        <v>63</v>
      </c>
      <c r="G21" s="284" t="s">
        <v>63</v>
      </c>
      <c r="H21" s="285" t="s">
        <v>63</v>
      </c>
      <c r="I21" s="284" t="s">
        <v>63</v>
      </c>
      <c r="K21" s="282">
        <f>'2. Indoor Water Demand'!$L$22</f>
        <v>0</v>
      </c>
      <c r="L21" s="283">
        <f>'2. Indoor Water Demand'!$L$22</f>
        <v>0</v>
      </c>
      <c r="M21" s="1515">
        <v>0.9</v>
      </c>
      <c r="N21" s="284">
        <f>M21*L21</f>
        <v>0</v>
      </c>
      <c r="O21" s="284">
        <f t="shared" si="0"/>
        <v>0</v>
      </c>
      <c r="P21" s="285">
        <f>'2. Indoor Water Demand'!K22</f>
        <v>0</v>
      </c>
      <c r="Q21" s="284">
        <f t="shared" si="1"/>
        <v>0</v>
      </c>
    </row>
    <row r="22" spans="2:18" s="258" customFormat="1" ht="15" x14ac:dyDescent="0.25">
      <c r="B22" s="1514" t="s">
        <v>78</v>
      </c>
      <c r="C22" s="282" t="s">
        <v>63</v>
      </c>
      <c r="D22" s="283" t="s">
        <v>63</v>
      </c>
      <c r="E22" s="1516" t="s">
        <v>63</v>
      </c>
      <c r="F22" s="233" t="s">
        <v>63</v>
      </c>
      <c r="G22" s="284" t="s">
        <v>63</v>
      </c>
      <c r="H22" s="285" t="s">
        <v>63</v>
      </c>
      <c r="I22" s="284" t="s">
        <v>63</v>
      </c>
      <c r="K22" s="282">
        <f>'2. Indoor Water Demand'!$L$23</f>
        <v>0</v>
      </c>
      <c r="L22" s="283">
        <f>'2. Indoor Water Demand'!$L$23</f>
        <v>0</v>
      </c>
      <c r="M22" s="1515">
        <v>0.9</v>
      </c>
      <c r="N22" s="284">
        <f>M22*L22</f>
        <v>0</v>
      </c>
      <c r="O22" s="284">
        <f t="shared" si="0"/>
        <v>0</v>
      </c>
      <c r="P22" s="285">
        <f>'2. Indoor Water Demand'!K23</f>
        <v>0</v>
      </c>
      <c r="Q22" s="284">
        <f t="shared" si="1"/>
        <v>0</v>
      </c>
    </row>
    <row r="23" spans="2:18" s="258" customFormat="1" ht="15" x14ac:dyDescent="0.25">
      <c r="B23" s="1514" t="s">
        <v>79</v>
      </c>
      <c r="C23" s="282" t="s">
        <v>63</v>
      </c>
      <c r="D23" s="283" t="s">
        <v>63</v>
      </c>
      <c r="E23" s="1516" t="s">
        <v>63</v>
      </c>
      <c r="F23" s="233" t="s">
        <v>63</v>
      </c>
      <c r="G23" s="284" t="s">
        <v>63</v>
      </c>
      <c r="H23" s="285" t="s">
        <v>63</v>
      </c>
      <c r="I23" s="284" t="s">
        <v>63</v>
      </c>
      <c r="K23" s="282">
        <f>'2. Indoor Water Demand'!$L$24</f>
        <v>0</v>
      </c>
      <c r="L23" s="283">
        <f>'2. Indoor Water Demand'!$L$24</f>
        <v>0</v>
      </c>
      <c r="M23" s="1515">
        <v>0.9</v>
      </c>
      <c r="N23" s="284">
        <f>M23*L23</f>
        <v>0</v>
      </c>
      <c r="O23" s="284">
        <f t="shared" si="0"/>
        <v>0</v>
      </c>
      <c r="P23" s="285">
        <f>'2. Indoor Water Demand'!K24</f>
        <v>0</v>
      </c>
      <c r="Q23" s="284">
        <f t="shared" si="1"/>
        <v>0</v>
      </c>
    </row>
    <row r="24" spans="2:18" s="258" customFormat="1" ht="15.75" thickBot="1" x14ac:dyDescent="0.3">
      <c r="B24" s="1517" t="s">
        <v>83</v>
      </c>
      <c r="C24" s="286" t="s">
        <v>63</v>
      </c>
      <c r="D24" s="287" t="s">
        <v>63</v>
      </c>
      <c r="E24" s="1518" t="s">
        <v>63</v>
      </c>
      <c r="F24" s="234" t="s">
        <v>63</v>
      </c>
      <c r="G24" s="288" t="s">
        <v>63</v>
      </c>
      <c r="H24" s="289" t="s">
        <v>63</v>
      </c>
      <c r="I24" s="288" t="s">
        <v>63</v>
      </c>
      <c r="K24" s="286">
        <f>'2. Indoor Water Demand'!$L$25</f>
        <v>0</v>
      </c>
      <c r="L24" s="287">
        <f>'2. Indoor Water Demand'!$L$25</f>
        <v>0</v>
      </c>
      <c r="M24" s="1519">
        <v>0.9</v>
      </c>
      <c r="N24" s="288">
        <f>M24*L24</f>
        <v>0</v>
      </c>
      <c r="O24" s="290">
        <f t="shared" si="0"/>
        <v>0</v>
      </c>
      <c r="P24" s="289">
        <f>'2. Indoor Water Demand'!K25</f>
        <v>0</v>
      </c>
      <c r="Q24" s="288">
        <f t="shared" si="1"/>
        <v>0</v>
      </c>
    </row>
    <row r="25" spans="2:18" s="258" customFormat="1" ht="16.5" thickTop="1" thickBot="1" x14ac:dyDescent="0.3">
      <c r="B25" s="1520" t="s">
        <v>20</v>
      </c>
      <c r="C25" s="291">
        <f>SUM(C18:C20)</f>
        <v>0</v>
      </c>
      <c r="D25" s="292">
        <f>SUM(D18:D20)</f>
        <v>0</v>
      </c>
      <c r="E25" s="1521"/>
      <c r="F25" s="293">
        <f>SUM(F18:F20)</f>
        <v>0</v>
      </c>
      <c r="G25" s="294">
        <f>SUM(G18:G20)</f>
        <v>0</v>
      </c>
      <c r="H25" s="295">
        <f>SUM(H18:H24)</f>
        <v>0</v>
      </c>
      <c r="I25" s="296">
        <f>SUM(I18:I24)</f>
        <v>0</v>
      </c>
      <c r="K25" s="291">
        <f>SUM(K18:K24)</f>
        <v>0</v>
      </c>
      <c r="L25" s="292">
        <f>SUM(L18:L24)</f>
        <v>0</v>
      </c>
      <c r="M25" s="1521"/>
      <c r="N25" s="296">
        <f>SUM(N18:N24)</f>
        <v>0</v>
      </c>
      <c r="O25" s="296">
        <f>SUM(O18:O24)</f>
        <v>0</v>
      </c>
      <c r="P25" s="295">
        <f>SUM(P18:P24)</f>
        <v>0</v>
      </c>
      <c r="Q25" s="296">
        <f>SUM(Q18:Q24)</f>
        <v>0</v>
      </c>
    </row>
    <row r="26" spans="2:18" s="258" customFormat="1" ht="48.75" customHeight="1" thickBot="1" x14ac:dyDescent="0.3">
      <c r="C26" s="1756" t="s">
        <v>722</v>
      </c>
      <c r="D26" s="1757"/>
      <c r="E26" s="1758"/>
      <c r="F26" s="297">
        <f>SUM(G26)</f>
        <v>0</v>
      </c>
      <c r="G26" s="383">
        <v>0</v>
      </c>
      <c r="K26" s="1781" t="s">
        <v>637</v>
      </c>
      <c r="L26" s="1782"/>
      <c r="M26" s="1783"/>
      <c r="N26" s="298">
        <f>SUM(O26:O26)</f>
        <v>0</v>
      </c>
      <c r="O26" s="299">
        <f>G26</f>
        <v>0</v>
      </c>
    </row>
    <row r="27" spans="2:18" s="258" customFormat="1" ht="49.5" customHeight="1" thickBot="1" x14ac:dyDescent="0.3">
      <c r="B27" s="1522" t="s">
        <v>712</v>
      </c>
      <c r="K27" s="1756" t="s">
        <v>723</v>
      </c>
      <c r="L27" s="1757"/>
      <c r="M27" s="1758"/>
      <c r="N27" s="300">
        <f>SUM(O27:O27)</f>
        <v>0</v>
      </c>
      <c r="O27" s="384">
        <v>0</v>
      </c>
    </row>
    <row r="28" spans="2:18" s="258" customFormat="1" ht="36" customHeight="1" thickBot="1" x14ac:dyDescent="0.3">
      <c r="B28" s="1523" t="s">
        <v>55</v>
      </c>
      <c r="K28" s="1781" t="s">
        <v>638</v>
      </c>
      <c r="L28" s="1782"/>
      <c r="M28" s="1783"/>
      <c r="N28" s="301">
        <f>SUM(O28:O28)</f>
        <v>0</v>
      </c>
      <c r="O28" s="302">
        <f>SUM(O26:O27)</f>
        <v>0</v>
      </c>
    </row>
    <row r="29" spans="2:18" s="258" customFormat="1" ht="15" x14ac:dyDescent="0.25">
      <c r="B29" s="258" t="s">
        <v>172</v>
      </c>
    </row>
    <row r="30" spans="2:18" s="258" customFormat="1" ht="15" x14ac:dyDescent="0.25"/>
    <row r="31" spans="2:18" s="936" customFormat="1" ht="18.75" x14ac:dyDescent="0.3">
      <c r="B31" s="913" t="s">
        <v>504</v>
      </c>
      <c r="C31" s="920"/>
      <c r="D31" s="920"/>
      <c r="E31" s="920"/>
      <c r="F31" s="920"/>
      <c r="G31" s="920"/>
      <c r="H31" s="920"/>
    </row>
    <row r="32" spans="2:18" s="258" customFormat="1" ht="15.75" thickBot="1" x14ac:dyDescent="0.3"/>
    <row r="33" spans="2:18" s="258" customFormat="1" ht="15.75" thickBot="1" x14ac:dyDescent="0.3">
      <c r="C33" s="1509" t="s">
        <v>485</v>
      </c>
      <c r="D33" s="1510"/>
      <c r="E33" s="1511"/>
      <c r="F33" s="937"/>
      <c r="G33" s="937"/>
      <c r="H33" s="937"/>
      <c r="I33" s="938"/>
      <c r="K33" s="1512" t="s">
        <v>486</v>
      </c>
      <c r="L33" s="937"/>
      <c r="M33" s="937"/>
      <c r="N33" s="1510"/>
      <c r="O33" s="1510"/>
      <c r="P33" s="937"/>
      <c r="Q33" s="938"/>
    </row>
    <row r="34" spans="2:18" s="278" customFormat="1" ht="75.75" thickBot="1" x14ac:dyDescent="0.25">
      <c r="B34" s="279"/>
      <c r="C34" s="939" t="s">
        <v>697</v>
      </c>
      <c r="D34" s="940" t="s">
        <v>256</v>
      </c>
      <c r="E34" s="940" t="s">
        <v>386</v>
      </c>
      <c r="F34" s="940" t="s">
        <v>436</v>
      </c>
      <c r="G34" s="940" t="s">
        <v>698</v>
      </c>
      <c r="H34" s="939" t="s">
        <v>385</v>
      </c>
      <c r="I34" s="941" t="s">
        <v>74</v>
      </c>
      <c r="K34" s="939" t="s">
        <v>697</v>
      </c>
      <c r="L34" s="940" t="s">
        <v>437</v>
      </c>
      <c r="M34" s="940" t="s">
        <v>388</v>
      </c>
      <c r="N34" s="941" t="s">
        <v>438</v>
      </c>
      <c r="O34" s="940" t="s">
        <v>698</v>
      </c>
      <c r="P34" s="939" t="s">
        <v>506</v>
      </c>
      <c r="Q34" s="941" t="s">
        <v>507</v>
      </c>
      <c r="R34" s="280" t="s">
        <v>151</v>
      </c>
    </row>
    <row r="35" spans="2:18" s="258" customFormat="1" ht="17.25" customHeight="1" x14ac:dyDescent="0.25">
      <c r="B35" s="921" t="s">
        <v>57</v>
      </c>
      <c r="C35" s="943"/>
      <c r="D35" s="944"/>
      <c r="E35" s="944"/>
      <c r="F35" s="944"/>
      <c r="G35" s="944"/>
      <c r="H35" s="943"/>
      <c r="I35" s="945"/>
      <c r="K35" s="943"/>
      <c r="L35" s="944"/>
      <c r="M35" s="944"/>
      <c r="N35" s="945"/>
      <c r="O35" s="944"/>
      <c r="P35" s="943"/>
      <c r="Q35" s="945"/>
      <c r="R35" s="281" t="s">
        <v>156</v>
      </c>
    </row>
    <row r="36" spans="2:18" s="258" customFormat="1" ht="15" x14ac:dyDescent="0.25">
      <c r="B36" s="1457" t="str">
        <f>'2. Indoor Water Demand'!B41</f>
        <v xml:space="preserve">Showerhead </v>
      </c>
      <c r="C36" s="282">
        <f>'2. Indoor Water Demand'!$F$41</f>
        <v>0</v>
      </c>
      <c r="D36" s="283">
        <f>'2. Indoor Water Demand'!F41</f>
        <v>0</v>
      </c>
      <c r="E36" s="1515">
        <v>0.9</v>
      </c>
      <c r="F36" s="233">
        <f>D36*E36</f>
        <v>0</v>
      </c>
      <c r="G36" s="233">
        <f>C36*$E36</f>
        <v>0</v>
      </c>
      <c r="H36" s="282">
        <f>'2. Indoor Water Demand'!E41</f>
        <v>0</v>
      </c>
      <c r="I36" s="284">
        <f>H36*E36</f>
        <v>0</v>
      </c>
      <c r="K36" s="282">
        <f>'2. Indoor Water Demand'!F41</f>
        <v>0</v>
      </c>
      <c r="L36" s="283">
        <f>'2. Indoor Water Demand'!F41</f>
        <v>0</v>
      </c>
      <c r="M36" s="1515">
        <v>0.9</v>
      </c>
      <c r="N36" s="284">
        <f>L36*M36</f>
        <v>0</v>
      </c>
      <c r="O36" s="233">
        <f t="shared" ref="O36:O43" si="4">K36*$M36</f>
        <v>0</v>
      </c>
      <c r="P36" s="282">
        <f>'2. Indoor Water Demand'!E41</f>
        <v>0</v>
      </c>
      <c r="Q36" s="303">
        <f t="shared" ref="Q36:Q43" si="5">P36*M36</f>
        <v>0</v>
      </c>
    </row>
    <row r="37" spans="2:18" s="258" customFormat="1" ht="15" x14ac:dyDescent="0.25">
      <c r="B37" s="1457" t="str">
        <f>'2. Indoor Water Demand'!B42</f>
        <v>Faucet</v>
      </c>
      <c r="C37" s="282">
        <f>'2. Indoor Water Demand'!$F$42</f>
        <v>0</v>
      </c>
      <c r="D37" s="283">
        <f>'2. Indoor Water Demand'!F42</f>
        <v>0</v>
      </c>
      <c r="E37" s="1515">
        <v>0.9</v>
      </c>
      <c r="F37" s="233">
        <f>D37*E37</f>
        <v>0</v>
      </c>
      <c r="G37" s="233">
        <f>C37*$E37</f>
        <v>0</v>
      </c>
      <c r="H37" s="282">
        <f>'2. Indoor Water Demand'!E42</f>
        <v>0</v>
      </c>
      <c r="I37" s="284">
        <f>H37*E37</f>
        <v>0</v>
      </c>
      <c r="K37" s="282">
        <f>'2. Indoor Water Demand'!F42</f>
        <v>0</v>
      </c>
      <c r="L37" s="283">
        <f>'2. Indoor Water Demand'!F42</f>
        <v>0</v>
      </c>
      <c r="M37" s="1515">
        <v>0.9</v>
      </c>
      <c r="N37" s="284">
        <f>L37*M37</f>
        <v>0</v>
      </c>
      <c r="O37" s="233">
        <f t="shared" si="4"/>
        <v>0</v>
      </c>
      <c r="P37" s="282">
        <f>'2. Indoor Water Demand'!E42</f>
        <v>0</v>
      </c>
      <c r="Q37" s="303">
        <f t="shared" si="5"/>
        <v>0</v>
      </c>
    </row>
    <row r="38" spans="2:18" s="258" customFormat="1" ht="15" x14ac:dyDescent="0.25">
      <c r="B38" s="1457" t="str">
        <f>'2. Indoor Water Demand'!B43</f>
        <v>Bath</v>
      </c>
      <c r="C38" s="282">
        <f>'2. Indoor Water Demand'!$F$43</f>
        <v>0</v>
      </c>
      <c r="D38" s="283">
        <f>'2. Indoor Water Demand'!F43</f>
        <v>0</v>
      </c>
      <c r="E38" s="1515">
        <v>0.9</v>
      </c>
      <c r="F38" s="233">
        <f t="shared" ref="F38:F39" si="6">D38*E38</f>
        <v>0</v>
      </c>
      <c r="G38" s="233">
        <f t="shared" ref="G38:G39" si="7">C38*$E38</f>
        <v>0</v>
      </c>
      <c r="H38" s="282">
        <f>'2. Indoor Water Demand'!E43</f>
        <v>0</v>
      </c>
      <c r="I38" s="284">
        <f t="shared" ref="I38:I39" si="8">H38*E38</f>
        <v>0</v>
      </c>
      <c r="K38" s="282">
        <f>'2. Indoor Water Demand'!F43</f>
        <v>0</v>
      </c>
      <c r="L38" s="283">
        <f>'2. Indoor Water Demand'!F43</f>
        <v>0</v>
      </c>
      <c r="M38" s="1515">
        <v>0.9</v>
      </c>
      <c r="N38" s="284">
        <f>L38*M38</f>
        <v>0</v>
      </c>
      <c r="O38" s="233">
        <f t="shared" si="4"/>
        <v>0</v>
      </c>
      <c r="P38" s="282">
        <f>'2. Indoor Water Demand'!E43</f>
        <v>0</v>
      </c>
      <c r="Q38" s="303">
        <f t="shared" si="5"/>
        <v>0</v>
      </c>
    </row>
    <row r="39" spans="2:18" s="258" customFormat="1" ht="15" x14ac:dyDescent="0.25">
      <c r="B39" s="1457" t="str">
        <f>'2. Indoor Water Demand'!B44</f>
        <v>Laundry Machine</v>
      </c>
      <c r="C39" s="282">
        <f>'2. Indoor Water Demand'!$F$44</f>
        <v>0</v>
      </c>
      <c r="D39" s="283">
        <f>'2. Indoor Water Demand'!F44</f>
        <v>0</v>
      </c>
      <c r="E39" s="1515">
        <v>0.9</v>
      </c>
      <c r="F39" s="233">
        <f t="shared" si="6"/>
        <v>0</v>
      </c>
      <c r="G39" s="233">
        <f t="shared" si="7"/>
        <v>0</v>
      </c>
      <c r="H39" s="282">
        <f>'2. Indoor Water Demand'!E44</f>
        <v>0</v>
      </c>
      <c r="I39" s="284">
        <f t="shared" si="8"/>
        <v>0</v>
      </c>
      <c r="K39" s="282">
        <f>'2. Indoor Water Demand'!F44</f>
        <v>0</v>
      </c>
      <c r="L39" s="283">
        <f>'2. Indoor Water Demand'!F44</f>
        <v>0</v>
      </c>
      <c r="M39" s="1515">
        <v>0.9</v>
      </c>
      <c r="N39" s="284">
        <f>L39*M39</f>
        <v>0</v>
      </c>
      <c r="O39" s="233">
        <f t="shared" si="4"/>
        <v>0</v>
      </c>
      <c r="P39" s="282">
        <f>'2. Indoor Water Demand'!E44</f>
        <v>0</v>
      </c>
      <c r="Q39" s="303">
        <f t="shared" si="5"/>
        <v>0</v>
      </c>
    </row>
    <row r="40" spans="2:18" s="258" customFormat="1" ht="15" x14ac:dyDescent="0.25">
      <c r="B40" s="1457" t="str">
        <f>'2. Indoor Water Demand'!B45</f>
        <v>Toilet (Water Closet)</v>
      </c>
      <c r="C40" s="282" t="s">
        <v>63</v>
      </c>
      <c r="D40" s="283" t="s">
        <v>63</v>
      </c>
      <c r="E40" s="1516" t="s">
        <v>63</v>
      </c>
      <c r="F40" s="233" t="s">
        <v>63</v>
      </c>
      <c r="G40" s="233" t="s">
        <v>63</v>
      </c>
      <c r="H40" s="282" t="s">
        <v>63</v>
      </c>
      <c r="I40" s="284" t="s">
        <v>63</v>
      </c>
      <c r="K40" s="282">
        <f>'2. Indoor Water Demand'!F45</f>
        <v>0</v>
      </c>
      <c r="L40" s="283">
        <f>'2. Indoor Water Demand'!F45</f>
        <v>0</v>
      </c>
      <c r="M40" s="1515">
        <v>0.9</v>
      </c>
      <c r="N40" s="284">
        <f>M40*L40</f>
        <v>0</v>
      </c>
      <c r="O40" s="233">
        <f t="shared" si="4"/>
        <v>0</v>
      </c>
      <c r="P40" s="282">
        <f>'2. Indoor Water Demand'!E45</f>
        <v>0</v>
      </c>
      <c r="Q40" s="303">
        <f t="shared" si="5"/>
        <v>0</v>
      </c>
    </row>
    <row r="41" spans="2:18" s="258" customFormat="1" ht="15" x14ac:dyDescent="0.25">
      <c r="B41" s="1457" t="str">
        <f>'2. Indoor Water Demand'!B47</f>
        <v xml:space="preserve">Dishwasher </v>
      </c>
      <c r="C41" s="282" t="s">
        <v>63</v>
      </c>
      <c r="D41" s="283" t="s">
        <v>63</v>
      </c>
      <c r="E41" s="1516" t="s">
        <v>63</v>
      </c>
      <c r="F41" s="233" t="s">
        <v>63</v>
      </c>
      <c r="G41" s="233" t="s">
        <v>63</v>
      </c>
      <c r="H41" s="282" t="s">
        <v>63</v>
      </c>
      <c r="I41" s="284" t="s">
        <v>63</v>
      </c>
      <c r="K41" s="282">
        <f>'2. Indoor Water Demand'!F47</f>
        <v>0</v>
      </c>
      <c r="L41" s="283">
        <f>'2. Indoor Water Demand'!F47</f>
        <v>0</v>
      </c>
      <c r="M41" s="1515">
        <v>0.9</v>
      </c>
      <c r="N41" s="284">
        <f>M41*L41</f>
        <v>0</v>
      </c>
      <c r="O41" s="233">
        <f t="shared" si="4"/>
        <v>0</v>
      </c>
      <c r="P41" s="282">
        <f>'2. Indoor Water Demand'!E47</f>
        <v>0</v>
      </c>
      <c r="Q41" s="303">
        <f t="shared" si="5"/>
        <v>0</v>
      </c>
    </row>
    <row r="42" spans="2:18" s="258" customFormat="1" ht="15" x14ac:dyDescent="0.25">
      <c r="B42" s="1457" t="s">
        <v>79</v>
      </c>
      <c r="C42" s="282" t="s">
        <v>63</v>
      </c>
      <c r="D42" s="283" t="s">
        <v>63</v>
      </c>
      <c r="E42" s="1516" t="s">
        <v>63</v>
      </c>
      <c r="F42" s="233" t="s">
        <v>63</v>
      </c>
      <c r="G42" s="233" t="s">
        <v>63</v>
      </c>
      <c r="H42" s="282" t="s">
        <v>63</v>
      </c>
      <c r="I42" s="284" t="s">
        <v>63</v>
      </c>
      <c r="K42" s="862">
        <f>'2. Indoor Water Demand'!$F$46</f>
        <v>0</v>
      </c>
      <c r="L42" s="283">
        <f>'2. Indoor Water Demand'!$F$46</f>
        <v>0</v>
      </c>
      <c r="M42" s="1515">
        <v>0.9</v>
      </c>
      <c r="N42" s="284">
        <f>M42*L42</f>
        <v>0</v>
      </c>
      <c r="O42" s="233">
        <f t="shared" ref="O42" si="9">K42*$M42</f>
        <v>0</v>
      </c>
      <c r="P42" s="282">
        <f>'2. Indoor Water Demand'!E46</f>
        <v>0</v>
      </c>
      <c r="Q42" s="303">
        <f t="shared" si="5"/>
        <v>0</v>
      </c>
    </row>
    <row r="43" spans="2:18" s="258" customFormat="1" ht="15.75" thickBot="1" x14ac:dyDescent="0.3">
      <c r="B43" s="1457" t="str">
        <f>'2. Indoor Water Demand'!B48</f>
        <v>Othe Domestic Use</v>
      </c>
      <c r="C43" s="286" t="s">
        <v>63</v>
      </c>
      <c r="D43" s="287" t="s">
        <v>63</v>
      </c>
      <c r="E43" s="1518" t="s">
        <v>63</v>
      </c>
      <c r="F43" s="234" t="s">
        <v>63</v>
      </c>
      <c r="G43" s="234" t="s">
        <v>63</v>
      </c>
      <c r="H43" s="286" t="s">
        <v>63</v>
      </c>
      <c r="I43" s="288" t="s">
        <v>63</v>
      </c>
      <c r="K43" s="286">
        <f>'2. Indoor Water Demand'!F48</f>
        <v>0</v>
      </c>
      <c r="L43" s="287">
        <f>'2. Indoor Water Demand'!F48</f>
        <v>0</v>
      </c>
      <c r="M43" s="1519">
        <v>0.9</v>
      </c>
      <c r="N43" s="288">
        <f>M43*L43</f>
        <v>0</v>
      </c>
      <c r="O43" s="304">
        <f t="shared" si="4"/>
        <v>0</v>
      </c>
      <c r="P43" s="286">
        <f>'2. Indoor Water Demand'!E48</f>
        <v>0</v>
      </c>
      <c r="Q43" s="305">
        <f t="shared" si="5"/>
        <v>0</v>
      </c>
    </row>
    <row r="44" spans="2:18" s="258" customFormat="1" ht="16.5" thickTop="1" thickBot="1" x14ac:dyDescent="0.3">
      <c r="B44" s="1524" t="s">
        <v>20</v>
      </c>
      <c r="C44" s="291">
        <f>SUM(C36:C39)</f>
        <v>0</v>
      </c>
      <c r="D44" s="295">
        <f>SUM(D36:D39)</f>
        <v>0</v>
      </c>
      <c r="E44" s="1521"/>
      <c r="F44" s="237">
        <f>SUM(F36:F39)</f>
        <v>0</v>
      </c>
      <c r="G44" s="237">
        <f t="shared" ref="G44" si="10">SUM(G36:G39)</f>
        <v>0</v>
      </c>
      <c r="H44" s="291">
        <f>SUM(H36:H43)</f>
        <v>0</v>
      </c>
      <c r="I44" s="296">
        <f>SUM(I36:I43)</f>
        <v>0</v>
      </c>
      <c r="K44" s="291">
        <f>SUM(K36:K43)</f>
        <v>0</v>
      </c>
      <c r="L44" s="292">
        <f>SUM(L36:L43)</f>
        <v>0</v>
      </c>
      <c r="M44" s="1521"/>
      <c r="N44" s="296">
        <f>SUM(N36:N43)</f>
        <v>0</v>
      </c>
      <c r="O44" s="293">
        <f t="shared" ref="O44" si="11">SUM(O36:O43)</f>
        <v>0</v>
      </c>
      <c r="P44" s="291">
        <f>SUM(P36:P43)</f>
        <v>0</v>
      </c>
      <c r="Q44" s="306">
        <f>SUM(Q36:Q43)</f>
        <v>0</v>
      </c>
    </row>
    <row r="45" spans="2:18" s="258" customFormat="1" ht="46.5" customHeight="1" thickBot="1" x14ac:dyDescent="0.3">
      <c r="B45" s="825"/>
      <c r="C45" s="1756" t="s">
        <v>724</v>
      </c>
      <c r="D45" s="1757"/>
      <c r="E45" s="1758"/>
      <c r="F45" s="297">
        <f>SUM(G45:I45)</f>
        <v>0</v>
      </c>
      <c r="G45" s="383">
        <v>0</v>
      </c>
      <c r="K45" s="1759" t="s">
        <v>639</v>
      </c>
      <c r="L45" s="1760"/>
      <c r="M45" s="1761"/>
      <c r="N45" s="307">
        <f>SUM(O45:Q45)</f>
        <v>0</v>
      </c>
      <c r="O45" s="299">
        <f>G45</f>
        <v>0</v>
      </c>
    </row>
    <row r="46" spans="2:18" s="258" customFormat="1" ht="46.5" customHeight="1" thickBot="1" x14ac:dyDescent="0.3">
      <c r="B46" s="1522" t="s">
        <v>712</v>
      </c>
      <c r="C46" s="308"/>
      <c r="D46" s="308"/>
      <c r="E46" s="308"/>
      <c r="F46" s="308"/>
      <c r="G46" s="308"/>
      <c r="H46" s="308"/>
      <c r="K46" s="1762" t="s">
        <v>725</v>
      </c>
      <c r="L46" s="1763"/>
      <c r="M46" s="1764"/>
      <c r="N46" s="300">
        <f t="shared" ref="N46:N47" si="12">SUM(O46:Q46)</f>
        <v>0</v>
      </c>
      <c r="O46" s="384">
        <v>0</v>
      </c>
    </row>
    <row r="47" spans="2:18" s="258" customFormat="1" ht="17.25" thickTop="1" thickBot="1" x14ac:dyDescent="0.3">
      <c r="B47" s="1523" t="s">
        <v>55</v>
      </c>
      <c r="C47" s="308"/>
      <c r="D47" s="308"/>
      <c r="E47" s="308"/>
      <c r="F47" s="308"/>
      <c r="G47" s="308"/>
      <c r="H47" s="308"/>
      <c r="K47" s="1765" t="s">
        <v>638</v>
      </c>
      <c r="L47" s="1766"/>
      <c r="M47" s="1767"/>
      <c r="N47" s="301">
        <f t="shared" si="12"/>
        <v>0</v>
      </c>
      <c r="O47" s="302">
        <f>SUM(O45:O46)</f>
        <v>0</v>
      </c>
    </row>
    <row r="48" spans="2:18" s="258" customFormat="1" ht="15.75" customHeight="1" x14ac:dyDescent="0.25">
      <c r="B48" s="258" t="s">
        <v>172</v>
      </c>
      <c r="G48" s="247"/>
      <c r="H48" s="247"/>
      <c r="I48" s="247"/>
    </row>
    <row r="49" spans="2:15" s="258" customFormat="1" ht="15" x14ac:dyDescent="0.25"/>
    <row r="50" spans="2:15" s="936" customFormat="1" ht="18.75" x14ac:dyDescent="0.3">
      <c r="B50" s="913" t="s">
        <v>505</v>
      </c>
      <c r="C50" s="920"/>
      <c r="D50" s="920"/>
      <c r="E50" s="920"/>
      <c r="F50" s="920"/>
      <c r="G50" s="920"/>
      <c r="H50" s="920"/>
    </row>
    <row r="51" spans="2:15" s="258" customFormat="1" ht="15" x14ac:dyDescent="0.25">
      <c r="B51" s="309" t="s">
        <v>530</v>
      </c>
      <c r="C51" s="248"/>
      <c r="D51" s="244"/>
      <c r="E51" s="248"/>
      <c r="F51" s="244"/>
      <c r="G51" s="247"/>
      <c r="H51" s="247"/>
    </row>
    <row r="52" spans="2:15" s="258" customFormat="1" ht="15" x14ac:dyDescent="0.25">
      <c r="B52" s="247" t="s">
        <v>651</v>
      </c>
      <c r="C52" s="248"/>
      <c r="D52" s="244"/>
      <c r="E52" s="248"/>
      <c r="F52" s="244"/>
      <c r="G52" s="247"/>
      <c r="H52" s="247"/>
    </row>
    <row r="53" spans="2:15" s="258" customFormat="1" ht="15.75" thickBot="1" x14ac:dyDescent="0.3">
      <c r="B53" s="245" t="s">
        <v>734</v>
      </c>
      <c r="C53" s="248"/>
      <c r="D53" s="244"/>
      <c r="E53" s="248"/>
      <c r="F53" s="244"/>
      <c r="G53" s="247"/>
      <c r="H53" s="247"/>
    </row>
    <row r="54" spans="2:15" s="258" customFormat="1" ht="15" x14ac:dyDescent="0.25">
      <c r="B54" s="947" t="s">
        <v>22</v>
      </c>
      <c r="C54" s="948" t="s">
        <v>28</v>
      </c>
      <c r="D54" s="948" t="s">
        <v>29</v>
      </c>
      <c r="E54" s="948" t="s">
        <v>30</v>
      </c>
      <c r="F54" s="948" t="s">
        <v>31</v>
      </c>
      <c r="G54" s="948" t="s">
        <v>32</v>
      </c>
      <c r="H54" s="948" t="s">
        <v>33</v>
      </c>
      <c r="I54" s="948" t="s">
        <v>8</v>
      </c>
      <c r="J54" s="948" t="s">
        <v>9</v>
      </c>
      <c r="K54" s="948" t="s">
        <v>0</v>
      </c>
      <c r="L54" s="948" t="s">
        <v>2</v>
      </c>
      <c r="M54" s="948" t="s">
        <v>3</v>
      </c>
      <c r="N54" s="948" t="s">
        <v>4</v>
      </c>
      <c r="O54" s="949" t="s">
        <v>19</v>
      </c>
    </row>
    <row r="55" spans="2:15" s="258" customFormat="1" ht="15" x14ac:dyDescent="0.25">
      <c r="B55" s="950" t="str">
        <f>B4&amp;" "&amp;B5</f>
        <v>Project Name: Project Name</v>
      </c>
      <c r="C55" s="951"/>
      <c r="D55" s="951"/>
      <c r="E55" s="951"/>
      <c r="F55" s="951"/>
      <c r="G55" s="951"/>
      <c r="H55" s="951"/>
      <c r="I55" s="951"/>
      <c r="J55" s="951"/>
      <c r="K55" s="951"/>
      <c r="L55" s="951"/>
      <c r="M55" s="951"/>
      <c r="N55" s="951"/>
      <c r="O55" s="952"/>
    </row>
    <row r="56" spans="2:15" s="258" customFormat="1" ht="15" x14ac:dyDescent="0.25">
      <c r="B56" s="953" t="s">
        <v>535</v>
      </c>
      <c r="C56" s="310">
        <f>'2. Indoor Water Demand'!F89</f>
        <v>0</v>
      </c>
      <c r="D56" s="310">
        <f>'2. Indoor Water Demand'!G89</f>
        <v>0</v>
      </c>
      <c r="E56" s="310">
        <f>'2. Indoor Water Demand'!H89</f>
        <v>0</v>
      </c>
      <c r="F56" s="310">
        <f>'2. Indoor Water Demand'!I89</f>
        <v>0</v>
      </c>
      <c r="G56" s="310">
        <f>'2. Indoor Water Demand'!J89</f>
        <v>0</v>
      </c>
      <c r="H56" s="310">
        <f>'2. Indoor Water Demand'!K89</f>
        <v>0</v>
      </c>
      <c r="I56" s="310">
        <f>'2. Indoor Water Demand'!L89</f>
        <v>0</v>
      </c>
      <c r="J56" s="310">
        <f>'2. Indoor Water Demand'!M89</f>
        <v>0</v>
      </c>
      <c r="K56" s="310">
        <f>'2. Indoor Water Demand'!N89</f>
        <v>0</v>
      </c>
      <c r="L56" s="310">
        <f>'2. Indoor Water Demand'!O89</f>
        <v>0</v>
      </c>
      <c r="M56" s="310">
        <f>'2. Indoor Water Demand'!P89</f>
        <v>0</v>
      </c>
      <c r="N56" s="310">
        <f>'2. Indoor Water Demand'!Q89</f>
        <v>0</v>
      </c>
      <c r="O56" s="311">
        <f>SUM(C56:N56)</f>
        <v>0</v>
      </c>
    </row>
    <row r="57" spans="2:15" s="258" customFormat="1" ht="18" thickBot="1" x14ac:dyDescent="0.3">
      <c r="B57" s="954" t="s">
        <v>174</v>
      </c>
      <c r="C57" s="385">
        <v>0.15</v>
      </c>
      <c r="D57" s="385">
        <v>0.15</v>
      </c>
      <c r="E57" s="385">
        <v>0.15</v>
      </c>
      <c r="F57" s="385">
        <v>0.15</v>
      </c>
      <c r="G57" s="385">
        <v>0.15</v>
      </c>
      <c r="H57" s="385">
        <v>0.15</v>
      </c>
      <c r="I57" s="385">
        <v>0.15</v>
      </c>
      <c r="J57" s="385">
        <v>0.15</v>
      </c>
      <c r="K57" s="385">
        <v>0.15</v>
      </c>
      <c r="L57" s="385">
        <v>0.15</v>
      </c>
      <c r="M57" s="385">
        <v>0.15</v>
      </c>
      <c r="N57" s="385">
        <v>0.15</v>
      </c>
      <c r="O57" s="312"/>
    </row>
    <row r="58" spans="2:15" s="258" customFormat="1" ht="15.75" thickTop="1" x14ac:dyDescent="0.25">
      <c r="B58" s="953" t="s">
        <v>536</v>
      </c>
      <c r="C58" s="313">
        <f>C56*C57</f>
        <v>0</v>
      </c>
      <c r="D58" s="313">
        <f t="shared" ref="D58:N58" si="13">D56*D57</f>
        <v>0</v>
      </c>
      <c r="E58" s="313">
        <f t="shared" si="13"/>
        <v>0</v>
      </c>
      <c r="F58" s="313">
        <f t="shared" si="13"/>
        <v>0</v>
      </c>
      <c r="G58" s="313">
        <f t="shared" si="13"/>
        <v>0</v>
      </c>
      <c r="H58" s="313">
        <f t="shared" si="13"/>
        <v>0</v>
      </c>
      <c r="I58" s="313">
        <f t="shared" si="13"/>
        <v>0</v>
      </c>
      <c r="J58" s="313">
        <f t="shared" si="13"/>
        <v>0</v>
      </c>
      <c r="K58" s="313">
        <f t="shared" si="13"/>
        <v>0</v>
      </c>
      <c r="L58" s="313">
        <f t="shared" si="13"/>
        <v>0</v>
      </c>
      <c r="M58" s="313">
        <f t="shared" si="13"/>
        <v>0</v>
      </c>
      <c r="N58" s="313">
        <f t="shared" si="13"/>
        <v>0</v>
      </c>
      <c r="O58" s="311">
        <f>SUM(C58:N58)</f>
        <v>0</v>
      </c>
    </row>
    <row r="59" spans="2:15" s="258" customFormat="1" ht="15" x14ac:dyDescent="0.25">
      <c r="B59" s="953" t="s">
        <v>537</v>
      </c>
      <c r="C59" s="310">
        <f>C58/31</f>
        <v>0</v>
      </c>
      <c r="D59" s="310">
        <f>D58/30</f>
        <v>0</v>
      </c>
      <c r="E59" s="310">
        <f>E58/31</f>
        <v>0</v>
      </c>
      <c r="F59" s="310">
        <f>F58/30</f>
        <v>0</v>
      </c>
      <c r="G59" s="310">
        <f>G58/31</f>
        <v>0</v>
      </c>
      <c r="H59" s="310">
        <f>H58/30</f>
        <v>0</v>
      </c>
      <c r="I59" s="310">
        <f>I58/31</f>
        <v>0</v>
      </c>
      <c r="J59" s="310">
        <f>J58/31</f>
        <v>0</v>
      </c>
      <c r="K59" s="310">
        <f>K58/30</f>
        <v>0</v>
      </c>
      <c r="L59" s="310">
        <f>L58/31</f>
        <v>0</v>
      </c>
      <c r="M59" s="310">
        <f>M58/30</f>
        <v>0</v>
      </c>
      <c r="N59" s="310">
        <f>N58/31</f>
        <v>0</v>
      </c>
      <c r="O59" s="314"/>
    </row>
    <row r="60" spans="2:15" s="258" customFormat="1" ht="33" thickBot="1" x14ac:dyDescent="0.3">
      <c r="B60" s="955" t="s">
        <v>623</v>
      </c>
      <c r="C60" s="386">
        <v>0</v>
      </c>
      <c r="D60" s="386">
        <v>0</v>
      </c>
      <c r="E60" s="386">
        <v>0</v>
      </c>
      <c r="F60" s="386">
        <v>0</v>
      </c>
      <c r="G60" s="386">
        <v>0</v>
      </c>
      <c r="H60" s="386">
        <v>0</v>
      </c>
      <c r="I60" s="386">
        <v>0</v>
      </c>
      <c r="J60" s="386">
        <v>0</v>
      </c>
      <c r="K60" s="386">
        <v>0</v>
      </c>
      <c r="L60" s="386">
        <v>0</v>
      </c>
      <c r="M60" s="386">
        <v>0</v>
      </c>
      <c r="N60" s="386">
        <v>0</v>
      </c>
      <c r="O60" s="315">
        <f>SUM(C60:N60)</f>
        <v>0</v>
      </c>
    </row>
    <row r="61" spans="2:15" ht="8.25" customHeight="1" x14ac:dyDescent="0.25">
      <c r="B61" s="258"/>
      <c r="C61" s="316"/>
      <c r="D61" s="316"/>
      <c r="E61" s="316"/>
      <c r="F61" s="316"/>
      <c r="G61" s="316"/>
      <c r="H61" s="316"/>
      <c r="I61" s="316"/>
      <c r="J61" s="316"/>
      <c r="K61" s="316"/>
      <c r="L61" s="316"/>
      <c r="M61" s="316"/>
      <c r="N61" s="316"/>
    </row>
    <row r="62" spans="2:15" s="258" customFormat="1" ht="15.75" thickBot="1" x14ac:dyDescent="0.3"/>
    <row r="63" spans="2:15" s="258" customFormat="1" ht="15" x14ac:dyDescent="0.25">
      <c r="B63" s="956" t="s">
        <v>540</v>
      </c>
      <c r="C63" s="957"/>
      <c r="D63" s="957"/>
      <c r="E63" s="957"/>
      <c r="F63" s="957"/>
      <c r="G63" s="957"/>
      <c r="H63" s="957"/>
      <c r="I63" s="957"/>
      <c r="J63" s="957"/>
      <c r="K63" s="957"/>
      <c r="L63" s="957"/>
      <c r="M63" s="957"/>
      <c r="N63" s="957"/>
      <c r="O63" s="958"/>
    </row>
    <row r="64" spans="2:15" s="258" customFormat="1" ht="30" x14ac:dyDescent="0.25">
      <c r="B64" s="953" t="s">
        <v>625</v>
      </c>
      <c r="C64" s="960">
        <f>SUM(C58)</f>
        <v>0</v>
      </c>
      <c r="D64" s="960">
        <f t="shared" ref="D64:O64" si="14">SUM(D58)</f>
        <v>0</v>
      </c>
      <c r="E64" s="960">
        <f t="shared" si="14"/>
        <v>0</v>
      </c>
      <c r="F64" s="960">
        <f t="shared" si="14"/>
        <v>0</v>
      </c>
      <c r="G64" s="960">
        <f t="shared" si="14"/>
        <v>0</v>
      </c>
      <c r="H64" s="960">
        <f t="shared" si="14"/>
        <v>0</v>
      </c>
      <c r="I64" s="960">
        <f t="shared" si="14"/>
        <v>0</v>
      </c>
      <c r="J64" s="960">
        <f t="shared" si="14"/>
        <v>0</v>
      </c>
      <c r="K64" s="960">
        <f t="shared" si="14"/>
        <v>0</v>
      </c>
      <c r="L64" s="960">
        <f t="shared" si="14"/>
        <v>0</v>
      </c>
      <c r="M64" s="960">
        <f t="shared" si="14"/>
        <v>0</v>
      </c>
      <c r="N64" s="960">
        <f t="shared" si="14"/>
        <v>0</v>
      </c>
      <c r="O64" s="961">
        <f t="shared" si="14"/>
        <v>0</v>
      </c>
    </row>
    <row r="65" spans="2:15" s="258" customFormat="1" ht="15" x14ac:dyDescent="0.25">
      <c r="B65" s="953" t="s">
        <v>538</v>
      </c>
      <c r="C65" s="310">
        <f t="shared" ref="C65:N65" si="15">SUM(C59)</f>
        <v>0</v>
      </c>
      <c r="D65" s="310">
        <f t="shared" si="15"/>
        <v>0</v>
      </c>
      <c r="E65" s="310">
        <f t="shared" si="15"/>
        <v>0</v>
      </c>
      <c r="F65" s="310">
        <f t="shared" si="15"/>
        <v>0</v>
      </c>
      <c r="G65" s="310">
        <f t="shared" si="15"/>
        <v>0</v>
      </c>
      <c r="H65" s="310">
        <f t="shared" si="15"/>
        <v>0</v>
      </c>
      <c r="I65" s="310">
        <f t="shared" si="15"/>
        <v>0</v>
      </c>
      <c r="J65" s="310">
        <f t="shared" si="15"/>
        <v>0</v>
      </c>
      <c r="K65" s="310">
        <f t="shared" si="15"/>
        <v>0</v>
      </c>
      <c r="L65" s="310">
        <f t="shared" si="15"/>
        <v>0</v>
      </c>
      <c r="M65" s="310">
        <f t="shared" si="15"/>
        <v>0</v>
      </c>
      <c r="N65" s="310">
        <f t="shared" si="15"/>
        <v>0</v>
      </c>
      <c r="O65" s="314"/>
    </row>
    <row r="66" spans="2:15" s="258" customFormat="1" ht="15" x14ac:dyDescent="0.25">
      <c r="B66" s="953" t="s">
        <v>415</v>
      </c>
      <c r="C66" s="310">
        <f>C67/31</f>
        <v>0</v>
      </c>
      <c r="D66" s="310">
        <f>D67/330</f>
        <v>0</v>
      </c>
      <c r="E66" s="310">
        <f>E67/31</f>
        <v>0</v>
      </c>
      <c r="F66" s="310">
        <f>F67/30</f>
        <v>0</v>
      </c>
      <c r="G66" s="310">
        <f>G67/31</f>
        <v>0</v>
      </c>
      <c r="H66" s="310">
        <f>H67/30</f>
        <v>0</v>
      </c>
      <c r="I66" s="310">
        <f>I67/31</f>
        <v>0</v>
      </c>
      <c r="J66" s="310">
        <f>J67/31</f>
        <v>0</v>
      </c>
      <c r="K66" s="310">
        <f>K67/30</f>
        <v>0</v>
      </c>
      <c r="L66" s="310">
        <f>L67/31</f>
        <v>0</v>
      </c>
      <c r="M66" s="310">
        <f>M67/30</f>
        <v>0</v>
      </c>
      <c r="N66" s="310">
        <f>N67/31</f>
        <v>0</v>
      </c>
      <c r="O66" s="314"/>
    </row>
    <row r="67" spans="2:15" s="258" customFormat="1" ht="37.5" customHeight="1" x14ac:dyDescent="0.25">
      <c r="B67" s="953" t="s">
        <v>539</v>
      </c>
      <c r="C67" s="310">
        <f t="shared" ref="C67:N67" si="16">SUM(C56)</f>
        <v>0</v>
      </c>
      <c r="D67" s="310">
        <f t="shared" si="16"/>
        <v>0</v>
      </c>
      <c r="E67" s="310">
        <f t="shared" si="16"/>
        <v>0</v>
      </c>
      <c r="F67" s="310">
        <f t="shared" si="16"/>
        <v>0</v>
      </c>
      <c r="G67" s="310">
        <f t="shared" si="16"/>
        <v>0</v>
      </c>
      <c r="H67" s="310">
        <f t="shared" si="16"/>
        <v>0</v>
      </c>
      <c r="I67" s="310">
        <f t="shared" si="16"/>
        <v>0</v>
      </c>
      <c r="J67" s="310">
        <f t="shared" si="16"/>
        <v>0</v>
      </c>
      <c r="K67" s="310">
        <f t="shared" si="16"/>
        <v>0</v>
      </c>
      <c r="L67" s="310">
        <f t="shared" si="16"/>
        <v>0</v>
      </c>
      <c r="M67" s="310">
        <f t="shared" si="16"/>
        <v>0</v>
      </c>
      <c r="N67" s="310">
        <f t="shared" si="16"/>
        <v>0</v>
      </c>
      <c r="O67" s="311">
        <f>SUM(C67:N67)</f>
        <v>0</v>
      </c>
    </row>
    <row r="68" spans="2:15" ht="33" thickBot="1" x14ac:dyDescent="0.3">
      <c r="B68" s="955" t="s">
        <v>624</v>
      </c>
      <c r="C68" s="962">
        <f t="shared" ref="C68:N68" si="17">SUM(C60)</f>
        <v>0</v>
      </c>
      <c r="D68" s="962">
        <f t="shared" si="17"/>
        <v>0</v>
      </c>
      <c r="E68" s="962">
        <f t="shared" si="17"/>
        <v>0</v>
      </c>
      <c r="F68" s="962">
        <f t="shared" si="17"/>
        <v>0</v>
      </c>
      <c r="G68" s="962">
        <f t="shared" si="17"/>
        <v>0</v>
      </c>
      <c r="H68" s="962">
        <f t="shared" si="17"/>
        <v>0</v>
      </c>
      <c r="I68" s="962">
        <f t="shared" si="17"/>
        <v>0</v>
      </c>
      <c r="J68" s="962">
        <f t="shared" si="17"/>
        <v>0</v>
      </c>
      <c r="K68" s="962">
        <f t="shared" si="17"/>
        <v>0</v>
      </c>
      <c r="L68" s="962">
        <f t="shared" si="17"/>
        <v>0</v>
      </c>
      <c r="M68" s="962">
        <f t="shared" si="17"/>
        <v>0</v>
      </c>
      <c r="N68" s="962">
        <f t="shared" si="17"/>
        <v>0</v>
      </c>
      <c r="O68" s="963">
        <f>SUM(C68:N68)</f>
        <v>0</v>
      </c>
    </row>
    <row r="69" spans="2:15" s="258" customFormat="1" ht="15" x14ac:dyDescent="0.25">
      <c r="B69" s="247"/>
      <c r="C69" s="248"/>
      <c r="D69" s="244"/>
      <c r="E69" s="248"/>
      <c r="F69" s="244"/>
      <c r="G69" s="247"/>
      <c r="H69" s="247"/>
    </row>
    <row r="70" spans="2:15" s="258" customFormat="1" ht="15.75" thickBot="1" x14ac:dyDescent="0.3">
      <c r="B70" s="260" t="s">
        <v>509</v>
      </c>
      <c r="C70" s="248"/>
      <c r="D70" s="244"/>
      <c r="E70" s="260" t="s">
        <v>510</v>
      </c>
      <c r="F70" s="244"/>
      <c r="G70" s="247"/>
      <c r="H70" s="247"/>
    </row>
    <row r="71" spans="2:15" s="258" customFormat="1" ht="15" x14ac:dyDescent="0.25">
      <c r="B71" s="964" t="s">
        <v>415</v>
      </c>
      <c r="C71" s="318">
        <f>AVERAGE(C66:N66)</f>
        <v>0</v>
      </c>
      <c r="D71" s="244"/>
      <c r="E71" s="1770" t="s">
        <v>745</v>
      </c>
      <c r="F71" s="1771"/>
      <c r="G71" s="1772"/>
      <c r="H71" s="318">
        <f>AVERAGE(C65:N65)</f>
        <v>0</v>
      </c>
      <c r="I71" s="319" t="s">
        <v>508</v>
      </c>
    </row>
    <row r="72" spans="2:15" s="258" customFormat="1" ht="15" x14ac:dyDescent="0.25">
      <c r="B72" s="953" t="s">
        <v>416</v>
      </c>
      <c r="C72" s="320">
        <f>AVERAGE(C67:N67)</f>
        <v>0</v>
      </c>
      <c r="D72" s="244"/>
      <c r="E72" s="1773" t="s">
        <v>746</v>
      </c>
      <c r="F72" s="1774"/>
      <c r="G72" s="1775"/>
      <c r="H72" s="320">
        <f>AVERAGE(C64:N64)</f>
        <v>0</v>
      </c>
      <c r="I72" s="319" t="s">
        <v>439</v>
      </c>
    </row>
    <row r="73" spans="2:15" s="258" customFormat="1" ht="31.5" customHeight="1" thickBot="1" x14ac:dyDescent="0.3">
      <c r="B73" s="955" t="s">
        <v>417</v>
      </c>
      <c r="C73" s="321">
        <f>SUM(C67:N67)</f>
        <v>0</v>
      </c>
      <c r="D73" s="244"/>
      <c r="E73" s="1773" t="s">
        <v>747</v>
      </c>
      <c r="F73" s="1776"/>
      <c r="G73" s="1777"/>
      <c r="H73" s="320">
        <f>SUM(C64:N64)</f>
        <v>0</v>
      </c>
    </row>
    <row r="74" spans="2:15" s="258" customFormat="1" ht="33" customHeight="1" thickBot="1" x14ac:dyDescent="0.3">
      <c r="B74" s="247"/>
      <c r="C74" s="248"/>
      <c r="D74" s="244"/>
      <c r="E74" s="1778" t="s">
        <v>748</v>
      </c>
      <c r="F74" s="1779"/>
      <c r="G74" s="1780"/>
      <c r="H74" s="321">
        <f>SUM(C68:N68)</f>
        <v>0</v>
      </c>
    </row>
    <row r="75" spans="2:15" ht="15.75" customHeight="1" x14ac:dyDescent="0.25">
      <c r="B75" s="260" t="s">
        <v>55</v>
      </c>
      <c r="C75" s="248"/>
      <c r="D75" s="244"/>
      <c r="E75" s="248"/>
      <c r="F75" s="244"/>
      <c r="G75" s="247"/>
      <c r="H75" s="247"/>
      <c r="I75" s="258"/>
      <c r="J75" s="258"/>
      <c r="K75" s="258"/>
      <c r="L75" s="258"/>
      <c r="M75" s="258"/>
      <c r="N75" s="258"/>
      <c r="O75" s="258"/>
    </row>
    <row r="76" spans="2:15" s="258" customFormat="1" ht="15" x14ac:dyDescent="0.25">
      <c r="B76" s="247" t="s">
        <v>607</v>
      </c>
      <c r="C76" s="248"/>
      <c r="D76" s="244"/>
      <c r="E76" s="248"/>
      <c r="F76" s="244"/>
      <c r="G76" s="247"/>
      <c r="H76" s="247"/>
    </row>
    <row r="77" spans="2:15" s="258" customFormat="1" ht="15" x14ac:dyDescent="0.25">
      <c r="B77" s="279" t="s">
        <v>173</v>
      </c>
      <c r="C77" s="248"/>
      <c r="D77" s="244"/>
      <c r="E77" s="248"/>
      <c r="F77" s="244"/>
      <c r="G77" s="247"/>
      <c r="H77" s="247"/>
    </row>
    <row r="78" spans="2:15" s="258" customFormat="1" ht="15" x14ac:dyDescent="0.25">
      <c r="B78" s="279" t="s">
        <v>737</v>
      </c>
      <c r="C78" s="248"/>
      <c r="D78" s="244"/>
      <c r="E78" s="248"/>
      <c r="F78" s="244"/>
      <c r="G78" s="247"/>
      <c r="H78" s="247"/>
    </row>
    <row r="79" spans="2:15" s="258" customFormat="1" ht="15" x14ac:dyDescent="0.25"/>
    <row r="80" spans="2:15" s="258" customFormat="1" ht="15" hidden="1" x14ac:dyDescent="0.25"/>
    <row r="81" spans="2:8" s="258" customFormat="1" ht="15" hidden="1" x14ac:dyDescent="0.25"/>
    <row r="82" spans="2:8" s="258" customFormat="1" ht="15" hidden="1" x14ac:dyDescent="0.25"/>
    <row r="83" spans="2:8" s="258" customFormat="1" ht="15" hidden="1" x14ac:dyDescent="0.25"/>
    <row r="84" spans="2:8" s="258" customFormat="1" ht="15" hidden="1" x14ac:dyDescent="0.25"/>
    <row r="85" spans="2:8" s="258" customFormat="1" ht="15" hidden="1" x14ac:dyDescent="0.25"/>
    <row r="86" spans="2:8" s="258" customFormat="1" ht="36.75" hidden="1" customHeight="1" x14ac:dyDescent="0.25"/>
    <row r="87" spans="2:8" s="258" customFormat="1" ht="34.5" hidden="1" customHeight="1" x14ac:dyDescent="0.25"/>
    <row r="88" spans="2:8" s="258" customFormat="1" ht="15" hidden="1" x14ac:dyDescent="0.25"/>
    <row r="89" spans="2:8" s="258" customFormat="1" ht="15" hidden="1" x14ac:dyDescent="0.25"/>
    <row r="90" spans="2:8" s="258" customFormat="1" ht="15" hidden="1" x14ac:dyDescent="0.25"/>
    <row r="91" spans="2:8" s="258" customFormat="1" ht="15" hidden="1" x14ac:dyDescent="0.25"/>
    <row r="92" spans="2:8" s="258" customFormat="1" ht="15" x14ac:dyDescent="0.25">
      <c r="B92" s="319"/>
    </row>
    <row r="93" spans="2:8" s="936" customFormat="1" ht="18.75" x14ac:dyDescent="0.3">
      <c r="B93" s="913" t="s">
        <v>879</v>
      </c>
      <c r="C93" s="920"/>
      <c r="D93" s="920"/>
      <c r="E93" s="920"/>
      <c r="F93" s="920"/>
      <c r="G93" s="920"/>
      <c r="H93" s="920"/>
    </row>
    <row r="94" spans="2:8" s="258" customFormat="1" ht="15" x14ac:dyDescent="0.25">
      <c r="B94" s="261" t="s">
        <v>56</v>
      </c>
    </row>
    <row r="95" spans="2:8" s="258" customFormat="1" ht="15" x14ac:dyDescent="0.25">
      <c r="B95" s="322" t="s">
        <v>640</v>
      </c>
    </row>
    <row r="96" spans="2:8" s="258" customFormat="1" ht="15.75" thickBot="1" x14ac:dyDescent="0.3">
      <c r="B96" s="322" t="s">
        <v>713</v>
      </c>
    </row>
    <row r="97" spans="2:14" s="258" customFormat="1" ht="18.75" x14ac:dyDescent="0.3">
      <c r="B97" s="965" t="str">
        <f>'1. Building Information'!B53</f>
        <v>SITE: Project Name -- Project Address</v>
      </c>
      <c r="C97" s="966"/>
      <c r="D97" s="966"/>
      <c r="E97" s="966"/>
      <c r="F97" s="967"/>
      <c r="G97" s="1768"/>
      <c r="H97" s="1769"/>
      <c r="I97" s="1769"/>
      <c r="J97" s="1769"/>
      <c r="K97" s="1769"/>
      <c r="L97" s="1769"/>
      <c r="M97" s="1769"/>
      <c r="N97" s="1769"/>
    </row>
    <row r="98" spans="2:14" s="258" customFormat="1" ht="64.5" customHeight="1" x14ac:dyDescent="0.25">
      <c r="B98" s="968" t="s">
        <v>137</v>
      </c>
      <c r="C98" s="969" t="s">
        <v>138</v>
      </c>
      <c r="D98" s="969" t="s">
        <v>140</v>
      </c>
      <c r="E98" s="969" t="s">
        <v>139</v>
      </c>
      <c r="F98" s="970" t="s">
        <v>261</v>
      </c>
    </row>
    <row r="99" spans="2:14" s="258" customFormat="1" ht="15" x14ac:dyDescent="0.25">
      <c r="B99" s="1525" t="s">
        <v>141</v>
      </c>
      <c r="C99" s="387">
        <v>0</v>
      </c>
      <c r="D99" s="387">
        <v>0</v>
      </c>
      <c r="E99" s="323">
        <f>C99*D99</f>
        <v>0</v>
      </c>
      <c r="F99" s="761" t="s">
        <v>10</v>
      </c>
      <c r="G99" s="245" t="s">
        <v>362</v>
      </c>
    </row>
    <row r="100" spans="2:14" s="258" customFormat="1" ht="15" x14ac:dyDescent="0.25">
      <c r="B100" s="1525" t="s">
        <v>141</v>
      </c>
      <c r="C100" s="387">
        <v>0</v>
      </c>
      <c r="D100" s="387">
        <v>0</v>
      </c>
      <c r="E100" s="323">
        <f t="shared" ref="E100:E101" si="18">C100*D100</f>
        <v>0</v>
      </c>
      <c r="F100" s="761" t="s">
        <v>10</v>
      </c>
      <c r="G100" s="245" t="s">
        <v>362</v>
      </c>
    </row>
    <row r="101" spans="2:14" s="258" customFormat="1" ht="15.75" thickBot="1" x14ac:dyDescent="0.3">
      <c r="B101" s="1525" t="s">
        <v>141</v>
      </c>
      <c r="C101" s="387">
        <v>0</v>
      </c>
      <c r="D101" s="387">
        <v>0</v>
      </c>
      <c r="E101" s="324">
        <f t="shared" si="18"/>
        <v>0</v>
      </c>
      <c r="F101" s="761" t="s">
        <v>10</v>
      </c>
      <c r="G101" s="245" t="s">
        <v>362</v>
      </c>
    </row>
    <row r="102" spans="2:14" s="258" customFormat="1" ht="16.5" thickTop="1" thickBot="1" x14ac:dyDescent="0.3">
      <c r="B102" s="325" t="s">
        <v>419</v>
      </c>
      <c r="C102" s="1526"/>
      <c r="D102" s="1526"/>
      <c r="E102" s="240">
        <f>SUM(E99:E101)</f>
        <v>0</v>
      </c>
      <c r="F102" s="326"/>
      <c r="G102" s="247"/>
      <c r="H102" s="247"/>
      <c r="I102" s="327"/>
    </row>
    <row r="103" spans="2:14" s="258" customFormat="1" ht="15" x14ac:dyDescent="0.25">
      <c r="B103" s="328"/>
      <c r="C103" s="244"/>
      <c r="D103" s="244"/>
      <c r="E103" s="244"/>
      <c r="F103" s="247"/>
      <c r="G103" s="247"/>
      <c r="H103" s="247"/>
      <c r="I103" s="327"/>
    </row>
    <row r="104" spans="2:14" s="258" customFormat="1" ht="15" x14ac:dyDescent="0.25">
      <c r="B104" s="328"/>
      <c r="C104" s="244"/>
      <c r="D104" s="244"/>
      <c r="E104" s="244"/>
      <c r="F104" s="247"/>
      <c r="G104" s="247"/>
      <c r="H104" s="247"/>
      <c r="I104" s="327"/>
    </row>
    <row r="105" spans="2:14" s="258" customFormat="1" ht="15" x14ac:dyDescent="0.25">
      <c r="B105" s="329" t="s">
        <v>229</v>
      </c>
      <c r="C105" s="244"/>
      <c r="D105" s="244"/>
      <c r="E105" s="244"/>
      <c r="F105" s="247"/>
      <c r="G105" s="247"/>
      <c r="H105" s="247"/>
      <c r="I105" s="327"/>
    </row>
    <row r="106" spans="2:14" s="258" customFormat="1" ht="15" x14ac:dyDescent="0.25">
      <c r="B106" s="329"/>
      <c r="C106" s="244"/>
      <c r="D106" s="244"/>
      <c r="E106" s="244"/>
      <c r="F106" s="247"/>
      <c r="G106" s="247"/>
      <c r="H106" s="247"/>
      <c r="I106" s="327"/>
    </row>
    <row r="108" spans="2:14" s="972" customFormat="1" ht="18.75" x14ac:dyDescent="0.3">
      <c r="B108" s="1752" t="s">
        <v>175</v>
      </c>
      <c r="C108" s="1752"/>
      <c r="D108" s="1752"/>
      <c r="E108" s="1752"/>
      <c r="F108" s="1752"/>
      <c r="G108" s="1752"/>
      <c r="H108" s="971"/>
      <c r="I108" s="971"/>
      <c r="J108" s="971"/>
      <c r="K108" s="971"/>
      <c r="L108" s="971"/>
    </row>
    <row r="110" spans="2:14" hidden="1" x14ac:dyDescent="0.2"/>
    <row r="111" spans="2:14" ht="45" hidden="1" x14ac:dyDescent="0.25">
      <c r="B111" s="332" t="s">
        <v>206</v>
      </c>
      <c r="C111" s="333" t="s">
        <v>216</v>
      </c>
      <c r="D111" s="333" t="s">
        <v>217</v>
      </c>
      <c r="E111" s="333" t="s">
        <v>489</v>
      </c>
      <c r="F111" s="334" t="s">
        <v>230</v>
      </c>
      <c r="G111" s="334" t="s">
        <v>231</v>
      </c>
      <c r="H111" s="334" t="s">
        <v>232</v>
      </c>
      <c r="I111" s="334" t="s">
        <v>487</v>
      </c>
    </row>
    <row r="112" spans="2:14" ht="15" hidden="1" x14ac:dyDescent="0.25">
      <c r="B112" s="33" t="s">
        <v>75</v>
      </c>
      <c r="C112" s="335">
        <f>I18+I36</f>
        <v>0</v>
      </c>
      <c r="D112" s="335">
        <f>Q18+Q36</f>
        <v>0</v>
      </c>
      <c r="E112" s="336">
        <v>0</v>
      </c>
      <c r="F112" s="335">
        <f>F18+F36</f>
        <v>0</v>
      </c>
      <c r="G112" s="335">
        <f>N18+N36</f>
        <v>0</v>
      </c>
      <c r="H112" s="335">
        <v>0</v>
      </c>
      <c r="I112" s="335"/>
    </row>
    <row r="113" spans="2:13" ht="15" hidden="1" x14ac:dyDescent="0.25">
      <c r="B113" s="33" t="s">
        <v>207</v>
      </c>
      <c r="C113" s="335">
        <f>I19+I37</f>
        <v>0</v>
      </c>
      <c r="D113" s="335">
        <f>Q19+Q37</f>
        <v>0</v>
      </c>
      <c r="E113" s="336">
        <v>0</v>
      </c>
      <c r="F113" s="335">
        <f>F19+F37</f>
        <v>0</v>
      </c>
      <c r="G113" s="335">
        <f>N19+N37</f>
        <v>0</v>
      </c>
      <c r="H113" s="335">
        <v>0</v>
      </c>
      <c r="I113" s="335"/>
    </row>
    <row r="114" spans="2:13" ht="15" hidden="1" x14ac:dyDescent="0.25">
      <c r="B114" s="33" t="s">
        <v>77</v>
      </c>
      <c r="C114" s="335">
        <f>I20+I38</f>
        <v>0</v>
      </c>
      <c r="D114" s="335">
        <f>Q38</f>
        <v>0</v>
      </c>
      <c r="E114" s="336">
        <v>0</v>
      </c>
      <c r="F114" s="335">
        <f>F20+F38</f>
        <v>0</v>
      </c>
      <c r="G114" s="335">
        <f>N38</f>
        <v>0</v>
      </c>
      <c r="H114" s="335">
        <v>0</v>
      </c>
      <c r="I114" s="335"/>
    </row>
    <row r="115" spans="2:13" ht="15" hidden="1" x14ac:dyDescent="0.25">
      <c r="B115" s="33" t="s">
        <v>80</v>
      </c>
      <c r="C115" s="335">
        <f>I39</f>
        <v>0</v>
      </c>
      <c r="D115" s="335">
        <f>Q20+Q39</f>
        <v>0</v>
      </c>
      <c r="E115" s="336">
        <v>0</v>
      </c>
      <c r="F115" s="335">
        <f>F39</f>
        <v>0</v>
      </c>
      <c r="G115" s="335">
        <f>N20+N39</f>
        <v>0</v>
      </c>
      <c r="H115" s="335">
        <v>0</v>
      </c>
      <c r="I115" s="335"/>
    </row>
    <row r="116" spans="2:13" ht="15" hidden="1" x14ac:dyDescent="0.25">
      <c r="B116" s="33" t="s">
        <v>208</v>
      </c>
      <c r="C116" s="336">
        <v>0</v>
      </c>
      <c r="D116" s="335">
        <f>Q21+Q22+Q40</f>
        <v>0</v>
      </c>
      <c r="E116" s="336">
        <v>0</v>
      </c>
      <c r="F116" s="335">
        <v>0</v>
      </c>
      <c r="G116" s="335">
        <f>N21+N22+N40</f>
        <v>0</v>
      </c>
      <c r="H116" s="335">
        <v>0</v>
      </c>
      <c r="I116" s="335"/>
    </row>
    <row r="117" spans="2:13" ht="15" hidden="1" x14ac:dyDescent="0.25">
      <c r="B117" s="33" t="s">
        <v>215</v>
      </c>
      <c r="C117" s="336">
        <v>0</v>
      </c>
      <c r="D117" s="335">
        <f>Q23+Q42</f>
        <v>0</v>
      </c>
      <c r="E117" s="336">
        <v>0</v>
      </c>
      <c r="F117" s="335">
        <v>0</v>
      </c>
      <c r="G117" s="335">
        <f>N23+N41</f>
        <v>0</v>
      </c>
      <c r="H117" s="335">
        <v>0</v>
      </c>
      <c r="I117" s="335"/>
    </row>
    <row r="118" spans="2:13" ht="15" hidden="1" x14ac:dyDescent="0.25">
      <c r="B118" s="33" t="s">
        <v>83</v>
      </c>
      <c r="C118" s="336">
        <v>0</v>
      </c>
      <c r="D118" s="335">
        <f>Q24</f>
        <v>0</v>
      </c>
      <c r="E118" s="336">
        <v>0</v>
      </c>
      <c r="F118" s="335">
        <v>0</v>
      </c>
      <c r="G118" s="335">
        <f>N24</f>
        <v>0</v>
      </c>
      <c r="H118" s="335">
        <v>0</v>
      </c>
      <c r="I118" s="335"/>
    </row>
    <row r="119" spans="2:13" ht="15" hidden="1" x14ac:dyDescent="0.25">
      <c r="B119" s="33" t="s">
        <v>81</v>
      </c>
      <c r="C119" s="336">
        <v>0</v>
      </c>
      <c r="D119" s="335">
        <f>Q41</f>
        <v>0</v>
      </c>
      <c r="E119" s="336">
        <v>0</v>
      </c>
      <c r="F119" s="335">
        <v>0</v>
      </c>
      <c r="G119" s="335">
        <f>N43</f>
        <v>0</v>
      </c>
      <c r="H119" s="335">
        <v>0</v>
      </c>
      <c r="I119" s="335"/>
    </row>
    <row r="120" spans="2:13" ht="15" hidden="1" x14ac:dyDescent="0.25">
      <c r="B120" s="33"/>
      <c r="C120" s="336"/>
      <c r="D120" s="335"/>
      <c r="E120" s="336"/>
      <c r="F120" s="335"/>
      <c r="G120" s="335"/>
      <c r="H120" s="335"/>
      <c r="I120" s="335"/>
    </row>
    <row r="121" spans="2:13" ht="15" hidden="1" x14ac:dyDescent="0.25">
      <c r="B121" s="116" t="s">
        <v>488</v>
      </c>
      <c r="C121" s="337">
        <f>SUMIF(F99:F101,"Graywater",C99:C101)</f>
        <v>0</v>
      </c>
      <c r="D121" s="337">
        <v>0</v>
      </c>
      <c r="E121" s="337">
        <f>SUM(C99:C101)</f>
        <v>0</v>
      </c>
      <c r="F121" s="337">
        <f>SUMIF(F99:F101,"Graywater",E99:E101)</f>
        <v>0</v>
      </c>
      <c r="G121" s="337">
        <v>0</v>
      </c>
      <c r="H121" s="337">
        <v>0</v>
      </c>
      <c r="I121" s="337">
        <f>SUM(E99:E101)</f>
        <v>0</v>
      </c>
    </row>
    <row r="122" spans="2:13" ht="15" hidden="1" x14ac:dyDescent="0.25">
      <c r="B122" s="33"/>
      <c r="C122" s="335">
        <v>0</v>
      </c>
      <c r="D122" s="335">
        <v>0</v>
      </c>
      <c r="E122" s="335">
        <v>0</v>
      </c>
      <c r="F122" s="335">
        <v>0</v>
      </c>
      <c r="G122" s="335">
        <v>0</v>
      </c>
      <c r="H122" s="335">
        <v>0</v>
      </c>
      <c r="I122" s="335"/>
    </row>
    <row r="123" spans="2:13" ht="15" hidden="1" x14ac:dyDescent="0.2">
      <c r="B123" s="35" t="s">
        <v>19</v>
      </c>
      <c r="C123" s="338">
        <f t="shared" ref="C123:I123" si="19">SUM(C112:C122)</f>
        <v>0</v>
      </c>
      <c r="D123" s="338">
        <f t="shared" si="19"/>
        <v>0</v>
      </c>
      <c r="E123" s="338">
        <f t="shared" si="19"/>
        <v>0</v>
      </c>
      <c r="F123" s="338">
        <f t="shared" si="19"/>
        <v>0</v>
      </c>
      <c r="G123" s="338">
        <f t="shared" si="19"/>
        <v>0</v>
      </c>
      <c r="H123" s="338">
        <f t="shared" si="19"/>
        <v>0</v>
      </c>
      <c r="I123" s="338">
        <f t="shared" si="19"/>
        <v>0</v>
      </c>
    </row>
    <row r="124" spans="2:13" ht="15" hidden="1" x14ac:dyDescent="0.2">
      <c r="B124" s="32"/>
    </row>
    <row r="125" spans="2:13" hidden="1" x14ac:dyDescent="0.2"/>
    <row r="126" spans="2:13" ht="13.5" hidden="1" thickBot="1" x14ac:dyDescent="0.25"/>
    <row r="127" spans="2:13" hidden="1" x14ac:dyDescent="0.2">
      <c r="B127" s="280" t="s">
        <v>85</v>
      </c>
      <c r="C127" s="339" t="s">
        <v>464</v>
      </c>
      <c r="D127" s="339"/>
      <c r="E127" s="340"/>
      <c r="F127" s="341" t="s">
        <v>628</v>
      </c>
      <c r="G127" s="342"/>
      <c r="H127" s="342"/>
      <c r="I127" s="343"/>
      <c r="J127" s="344" t="s">
        <v>641</v>
      </c>
      <c r="K127" s="345"/>
      <c r="L127" s="345"/>
      <c r="M127" s="346"/>
    </row>
    <row r="128" spans="2:13" ht="25.5" hidden="1" x14ac:dyDescent="0.2">
      <c r="B128" s="35" t="s">
        <v>57</v>
      </c>
      <c r="C128" s="347" t="s">
        <v>447</v>
      </c>
      <c r="D128" s="347"/>
      <c r="E128" s="348"/>
      <c r="F128" s="349" t="s">
        <v>447</v>
      </c>
      <c r="G128" s="347"/>
      <c r="H128" s="347"/>
      <c r="I128" s="350" t="s">
        <v>532</v>
      </c>
      <c r="J128" s="349" t="s">
        <v>447</v>
      </c>
      <c r="K128" s="347" t="s">
        <v>448</v>
      </c>
      <c r="L128" s="347" t="s">
        <v>449</v>
      </c>
      <c r="M128" s="350" t="s">
        <v>532</v>
      </c>
    </row>
    <row r="129" spans="1:13" ht="15" hidden="1" x14ac:dyDescent="0.2">
      <c r="A129" s="281" t="s">
        <v>17</v>
      </c>
      <c r="B129" s="123" t="s">
        <v>75</v>
      </c>
      <c r="C129" s="351">
        <f>'2. Indoor Water Demand'!K20*M18</f>
        <v>0</v>
      </c>
      <c r="D129" s="351"/>
      <c r="E129" s="352"/>
      <c r="F129" s="353">
        <f>'2. Indoor Water Demand'!L20*M18</f>
        <v>0</v>
      </c>
      <c r="G129" s="351"/>
      <c r="H129" s="351"/>
      <c r="I129" s="354">
        <f>SUM(F129:H129)</f>
        <v>0</v>
      </c>
      <c r="J129" s="863">
        <f>G26</f>
        <v>0</v>
      </c>
      <c r="K129" s="864"/>
      <c r="L129" s="864"/>
      <c r="M129" s="355">
        <f>SUM(J129:L129)</f>
        <v>0</v>
      </c>
    </row>
    <row r="130" spans="1:13" ht="15" hidden="1" x14ac:dyDescent="0.2">
      <c r="A130" s="281" t="s">
        <v>17</v>
      </c>
      <c r="B130" s="123" t="s">
        <v>82</v>
      </c>
      <c r="C130" s="351">
        <f>'2. Indoor Water Demand'!K21*E19</f>
        <v>0</v>
      </c>
      <c r="D130" s="351"/>
      <c r="E130" s="352"/>
      <c r="F130" s="353">
        <f>'2. Indoor Water Demand'!L21*E19</f>
        <v>0</v>
      </c>
      <c r="G130" s="351"/>
      <c r="H130" s="351"/>
      <c r="I130" s="354">
        <f t="shared" ref="I130:I135" si="20">SUM(F130:H130)</f>
        <v>0</v>
      </c>
      <c r="J130" s="356"/>
      <c r="K130" s="357"/>
      <c r="L130" s="357"/>
      <c r="M130" s="358"/>
    </row>
    <row r="131" spans="1:13" ht="15" hidden="1" x14ac:dyDescent="0.2">
      <c r="A131" s="281" t="s">
        <v>17</v>
      </c>
      <c r="B131" s="123" t="s">
        <v>120</v>
      </c>
      <c r="C131" s="351">
        <f>'2. Indoor Water Demand'!C115*M20</f>
        <v>0</v>
      </c>
      <c r="D131" s="351"/>
      <c r="E131" s="352"/>
      <c r="F131" s="353">
        <f>'2. Indoor Water Demand'!C117*M20</f>
        <v>0</v>
      </c>
      <c r="G131" s="351"/>
      <c r="H131" s="351"/>
      <c r="I131" s="354">
        <f t="shared" si="20"/>
        <v>0</v>
      </c>
      <c r="J131" s="865"/>
      <c r="K131" s="866"/>
      <c r="L131" s="866"/>
      <c r="M131" s="867"/>
    </row>
    <row r="132" spans="1:13" ht="15" hidden="1" x14ac:dyDescent="0.2">
      <c r="A132" s="281" t="s">
        <v>12</v>
      </c>
      <c r="B132" s="973" t="s">
        <v>146</v>
      </c>
      <c r="C132" s="974">
        <f>'2. Indoor Water Demand'!K22*M21</f>
        <v>0</v>
      </c>
      <c r="D132" s="974"/>
      <c r="E132" s="975"/>
      <c r="F132" s="976">
        <f>'2. Indoor Water Demand'!L22*M21</f>
        <v>0</v>
      </c>
      <c r="G132" s="974"/>
      <c r="H132" s="974"/>
      <c r="I132" s="977">
        <f t="shared" si="20"/>
        <v>0</v>
      </c>
      <c r="J132" s="978">
        <f>O27</f>
        <v>0</v>
      </c>
      <c r="K132" s="979"/>
      <c r="L132" s="979"/>
      <c r="M132" s="980">
        <f>SUM(J132:L132)</f>
        <v>0</v>
      </c>
    </row>
    <row r="133" spans="1:13" ht="15" hidden="1" x14ac:dyDescent="0.2">
      <c r="A133" s="281" t="s">
        <v>12</v>
      </c>
      <c r="B133" s="973" t="s">
        <v>78</v>
      </c>
      <c r="C133" s="974">
        <f>'2. Indoor Water Demand'!K23*M22</f>
        <v>0</v>
      </c>
      <c r="D133" s="974"/>
      <c r="E133" s="975"/>
      <c r="F133" s="976">
        <f>'2. Indoor Water Demand'!L23*M22</f>
        <v>0</v>
      </c>
      <c r="G133" s="974"/>
      <c r="H133" s="974"/>
      <c r="I133" s="977">
        <f t="shared" si="20"/>
        <v>0</v>
      </c>
      <c r="J133" s="981"/>
      <c r="K133" s="982"/>
      <c r="L133" s="982"/>
      <c r="M133" s="983"/>
    </row>
    <row r="134" spans="1:13" ht="15" hidden="1" x14ac:dyDescent="0.2">
      <c r="A134" s="281" t="s">
        <v>12</v>
      </c>
      <c r="B134" s="973" t="s">
        <v>79</v>
      </c>
      <c r="C134" s="974">
        <f>'2. Indoor Water Demand'!K24*M23</f>
        <v>0</v>
      </c>
      <c r="D134" s="974"/>
      <c r="E134" s="975"/>
      <c r="F134" s="976">
        <f>'2. Indoor Water Demand'!L24*M23</f>
        <v>0</v>
      </c>
      <c r="G134" s="974"/>
      <c r="H134" s="974"/>
      <c r="I134" s="977">
        <f t="shared" si="20"/>
        <v>0</v>
      </c>
      <c r="J134" s="981"/>
      <c r="K134" s="982"/>
      <c r="L134" s="982"/>
      <c r="M134" s="983"/>
    </row>
    <row r="135" spans="1:13" ht="15" hidden="1" x14ac:dyDescent="0.2">
      <c r="A135" s="281" t="s">
        <v>12</v>
      </c>
      <c r="B135" s="973" t="s">
        <v>83</v>
      </c>
      <c r="C135" s="974">
        <f>'2. Indoor Water Demand'!K25*M24</f>
        <v>0</v>
      </c>
      <c r="D135" s="974"/>
      <c r="E135" s="975"/>
      <c r="F135" s="976">
        <f>'2. Indoor Water Demand'!L25*M24</f>
        <v>0</v>
      </c>
      <c r="G135" s="974"/>
      <c r="H135" s="974"/>
      <c r="I135" s="977">
        <f t="shared" si="20"/>
        <v>0</v>
      </c>
      <c r="J135" s="984"/>
      <c r="K135" s="985"/>
      <c r="L135" s="985"/>
      <c r="M135" s="986"/>
    </row>
    <row r="136" spans="1:13" ht="15" hidden="1" x14ac:dyDescent="0.2">
      <c r="B136" s="122" t="s">
        <v>496</v>
      </c>
      <c r="C136" s="359">
        <f>SUM(C129:C131)</f>
        <v>0</v>
      </c>
      <c r="D136" s="359"/>
      <c r="E136" s="360"/>
      <c r="F136" s="361">
        <f>SUM(F129:F131)</f>
        <v>0</v>
      </c>
      <c r="G136" s="359"/>
      <c r="H136" s="359"/>
      <c r="I136" s="362">
        <f>SUM(F136:H136)</f>
        <v>0</v>
      </c>
      <c r="J136" s="363">
        <f>J129</f>
        <v>0</v>
      </c>
      <c r="K136" s="364"/>
      <c r="L136" s="364"/>
      <c r="M136" s="355">
        <f t="shared" ref="M136:M137" si="21">SUM(J136:L136)</f>
        <v>0</v>
      </c>
    </row>
    <row r="137" spans="1:13" ht="15.75" hidden="1" thickBot="1" x14ac:dyDescent="0.25">
      <c r="B137" s="987" t="s">
        <v>497</v>
      </c>
      <c r="C137" s="988">
        <f>SUM(C129:C135)</f>
        <v>0</v>
      </c>
      <c r="D137" s="988"/>
      <c r="E137" s="989"/>
      <c r="F137" s="990">
        <f>SUM(F129:F135)</f>
        <v>0</v>
      </c>
      <c r="G137" s="991"/>
      <c r="H137" s="991"/>
      <c r="I137" s="992">
        <f>SUM(F137:H137)</f>
        <v>0</v>
      </c>
      <c r="J137" s="993">
        <f>J129+J132</f>
        <v>0</v>
      </c>
      <c r="K137" s="994"/>
      <c r="L137" s="994"/>
      <c r="M137" s="995">
        <f t="shared" si="21"/>
        <v>0</v>
      </c>
    </row>
    <row r="138" spans="1:13" ht="13.5" hidden="1" thickBot="1" x14ac:dyDescent="0.25"/>
    <row r="139" spans="1:13" hidden="1" x14ac:dyDescent="0.2">
      <c r="B139" s="280" t="s">
        <v>450</v>
      </c>
      <c r="C139" s="339" t="s">
        <v>464</v>
      </c>
      <c r="D139" s="339"/>
      <c r="E139" s="340"/>
      <c r="F139" s="341" t="s">
        <v>465</v>
      </c>
      <c r="G139" s="342"/>
      <c r="H139" s="342"/>
      <c r="I139" s="365"/>
      <c r="J139" s="344" t="s">
        <v>641</v>
      </c>
      <c r="K139" s="345"/>
      <c r="L139" s="345"/>
      <c r="M139" s="346"/>
    </row>
    <row r="140" spans="1:13" ht="25.5" hidden="1" x14ac:dyDescent="0.2">
      <c r="B140" s="35" t="s">
        <v>57</v>
      </c>
      <c r="C140" s="347" t="s">
        <v>447</v>
      </c>
      <c r="D140" s="347"/>
      <c r="E140" s="348"/>
      <c r="F140" s="349" t="s">
        <v>447</v>
      </c>
      <c r="G140" s="347"/>
      <c r="H140" s="347"/>
      <c r="I140" s="350" t="s">
        <v>532</v>
      </c>
      <c r="J140" s="349" t="s">
        <v>447</v>
      </c>
      <c r="K140" s="347" t="s">
        <v>448</v>
      </c>
      <c r="L140" s="347" t="s">
        <v>449</v>
      </c>
      <c r="M140" s="350" t="s">
        <v>532</v>
      </c>
    </row>
    <row r="141" spans="1:13" ht="15" hidden="1" x14ac:dyDescent="0.2">
      <c r="A141" s="281" t="s">
        <v>17</v>
      </c>
      <c r="B141" s="123" t="str">
        <f>'2. Indoor Water Demand'!B41</f>
        <v xml:space="preserve">Showerhead </v>
      </c>
      <c r="C141" s="351">
        <f>'2. Indoor Water Demand'!E41*M36</f>
        <v>0</v>
      </c>
      <c r="D141" s="351"/>
      <c r="E141" s="352"/>
      <c r="F141" s="353">
        <f>'2. Indoor Water Demand'!F41*M36</f>
        <v>0</v>
      </c>
      <c r="G141" s="351"/>
      <c r="H141" s="351"/>
      <c r="I141" s="354">
        <f>SUM(F141:H141)</f>
        <v>0</v>
      </c>
      <c r="J141" s="868">
        <f>G45</f>
        <v>0</v>
      </c>
      <c r="K141" s="869"/>
      <c r="L141" s="869"/>
      <c r="M141" s="870">
        <f>SUM(J141:L141)</f>
        <v>0</v>
      </c>
    </row>
    <row r="142" spans="1:13" ht="15" hidden="1" x14ac:dyDescent="0.2">
      <c r="A142" s="281" t="s">
        <v>17</v>
      </c>
      <c r="B142" s="123" t="str">
        <f>'2. Indoor Water Demand'!B42</f>
        <v>Faucet</v>
      </c>
      <c r="C142" s="351">
        <f>'2. Indoor Water Demand'!E42*E37</f>
        <v>0</v>
      </c>
      <c r="D142" s="351"/>
      <c r="E142" s="352"/>
      <c r="F142" s="353">
        <f>'2. Indoor Water Demand'!F42*E37</f>
        <v>0</v>
      </c>
      <c r="G142" s="351"/>
      <c r="H142" s="351"/>
      <c r="I142" s="354">
        <f t="shared" ref="I142:I150" si="22">SUM(F142:H142)</f>
        <v>0</v>
      </c>
      <c r="J142" s="366"/>
      <c r="K142" s="367"/>
      <c r="L142" s="368"/>
      <c r="M142" s="369"/>
    </row>
    <row r="143" spans="1:13" ht="15" hidden="1" x14ac:dyDescent="0.2">
      <c r="A143" s="281" t="s">
        <v>17</v>
      </c>
      <c r="B143" s="123" t="str">
        <f>'2. Indoor Water Demand'!B43</f>
        <v>Bath</v>
      </c>
      <c r="C143" s="351">
        <f>'2. Indoor Water Demand'!E43*M38</f>
        <v>0</v>
      </c>
      <c r="D143" s="351"/>
      <c r="E143" s="352"/>
      <c r="F143" s="353">
        <f>'2. Indoor Water Demand'!F43*M38</f>
        <v>0</v>
      </c>
      <c r="G143" s="351"/>
      <c r="H143" s="351"/>
      <c r="I143" s="354">
        <f t="shared" si="22"/>
        <v>0</v>
      </c>
      <c r="J143" s="366"/>
      <c r="K143" s="367"/>
      <c r="L143" s="368"/>
      <c r="M143" s="369"/>
    </row>
    <row r="144" spans="1:13" ht="15" hidden="1" x14ac:dyDescent="0.2">
      <c r="A144" s="281" t="s">
        <v>17</v>
      </c>
      <c r="B144" s="123" t="str">
        <f>'2. Indoor Water Demand'!B44</f>
        <v>Laundry Machine</v>
      </c>
      <c r="C144" s="351">
        <f>'2. Indoor Water Demand'!E44*M39</f>
        <v>0</v>
      </c>
      <c r="D144" s="351"/>
      <c r="E144" s="352"/>
      <c r="F144" s="353">
        <f>'2. Indoor Water Demand'!F44*M39</f>
        <v>0</v>
      </c>
      <c r="G144" s="351"/>
      <c r="H144" s="351"/>
      <c r="I144" s="354">
        <f t="shared" si="22"/>
        <v>0</v>
      </c>
      <c r="J144" s="871"/>
      <c r="K144" s="872"/>
      <c r="L144" s="873"/>
      <c r="M144" s="874"/>
    </row>
    <row r="145" spans="1:13" ht="15" hidden="1" x14ac:dyDescent="0.2">
      <c r="A145" s="281" t="s">
        <v>12</v>
      </c>
      <c r="B145" s="973" t="str">
        <f>'2. Indoor Water Demand'!B45</f>
        <v>Toilet (Water Closet)</v>
      </c>
      <c r="C145" s="974">
        <f>'2. Indoor Water Demand'!E45*M40</f>
        <v>0</v>
      </c>
      <c r="D145" s="974"/>
      <c r="E145" s="975"/>
      <c r="F145" s="976">
        <f>'2. Indoor Water Demand'!F45*M40</f>
        <v>0</v>
      </c>
      <c r="G145" s="974"/>
      <c r="H145" s="974"/>
      <c r="I145" s="977">
        <f t="shared" si="22"/>
        <v>0</v>
      </c>
      <c r="J145" s="996">
        <f>O46</f>
        <v>0</v>
      </c>
      <c r="K145" s="997"/>
      <c r="L145" s="997"/>
      <c r="M145" s="998">
        <f>SUM(J145:L145)</f>
        <v>0</v>
      </c>
    </row>
    <row r="146" spans="1:13" ht="15" hidden="1" x14ac:dyDescent="0.2">
      <c r="A146" s="281" t="s">
        <v>12</v>
      </c>
      <c r="B146" s="973" t="s">
        <v>79</v>
      </c>
      <c r="C146" s="974">
        <f>'2. Indoor Water Demand'!E46*'3. Indoor Non-Potable Supply'!M42</f>
        <v>0</v>
      </c>
      <c r="D146" s="974"/>
      <c r="E146" s="975"/>
      <c r="F146" s="976">
        <f>'2. Indoor Water Demand'!F46*'3. Indoor Non-Potable Supply'!M42</f>
        <v>0</v>
      </c>
      <c r="G146" s="974"/>
      <c r="H146" s="974"/>
      <c r="I146" s="977">
        <f t="shared" si="22"/>
        <v>0</v>
      </c>
      <c r="J146" s="999"/>
      <c r="K146" s="1000"/>
      <c r="L146" s="1001"/>
      <c r="M146" s="1002"/>
    </row>
    <row r="147" spans="1:13" ht="15" hidden="1" x14ac:dyDescent="0.2">
      <c r="A147" s="281" t="s">
        <v>12</v>
      </c>
      <c r="B147" s="973" t="str">
        <f>'2. Indoor Water Demand'!B47</f>
        <v xml:space="preserve">Dishwasher </v>
      </c>
      <c r="C147" s="974">
        <f>'2. Indoor Water Demand'!E47*M41</f>
        <v>0</v>
      </c>
      <c r="D147" s="974"/>
      <c r="E147" s="975"/>
      <c r="F147" s="976">
        <f>'2. Indoor Water Demand'!F47*M41</f>
        <v>0</v>
      </c>
      <c r="G147" s="974"/>
      <c r="H147" s="974"/>
      <c r="I147" s="977">
        <f t="shared" si="22"/>
        <v>0</v>
      </c>
      <c r="J147" s="999"/>
      <c r="K147" s="1000"/>
      <c r="L147" s="1001"/>
      <c r="M147" s="1002"/>
    </row>
    <row r="148" spans="1:13" ht="15" hidden="1" x14ac:dyDescent="0.2">
      <c r="A148" s="281" t="s">
        <v>12</v>
      </c>
      <c r="B148" s="973" t="str">
        <f>'2. Indoor Water Demand'!B48</f>
        <v>Othe Domestic Use</v>
      </c>
      <c r="C148" s="974">
        <f>'2. Indoor Water Demand'!E48*M43</f>
        <v>0</v>
      </c>
      <c r="D148" s="974"/>
      <c r="E148" s="975"/>
      <c r="F148" s="976">
        <f>'2. Indoor Water Demand'!F48*M43</f>
        <v>0</v>
      </c>
      <c r="G148" s="974"/>
      <c r="H148" s="974"/>
      <c r="I148" s="977">
        <f t="shared" si="22"/>
        <v>0</v>
      </c>
      <c r="J148" s="1003"/>
      <c r="K148" s="1004"/>
      <c r="L148" s="1005"/>
      <c r="M148" s="1006"/>
    </row>
    <row r="149" spans="1:13" ht="15" hidden="1" x14ac:dyDescent="0.2">
      <c r="B149" s="122" t="s">
        <v>496</v>
      </c>
      <c r="C149" s="359">
        <f>SUM(C141:C144)</f>
        <v>0</v>
      </c>
      <c r="D149" s="359"/>
      <c r="E149" s="360"/>
      <c r="F149" s="359">
        <f>SUM(F141:F144)</f>
        <v>0</v>
      </c>
      <c r="G149" s="359"/>
      <c r="H149" s="359"/>
      <c r="I149" s="362">
        <f t="shared" si="22"/>
        <v>0</v>
      </c>
      <c r="J149" s="353">
        <f>J141</f>
        <v>0</v>
      </c>
      <c r="K149" s="351"/>
      <c r="L149" s="351"/>
      <c r="M149" s="354">
        <f>SUM(J149:L149)</f>
        <v>0</v>
      </c>
    </row>
    <row r="150" spans="1:13" ht="15.75" hidden="1" thickBot="1" x14ac:dyDescent="0.25">
      <c r="A150" s="370"/>
      <c r="B150" s="1007" t="s">
        <v>497</v>
      </c>
      <c r="C150" s="1008">
        <f>SUM(C141:C148)</f>
        <v>0</v>
      </c>
      <c r="D150" s="1008"/>
      <c r="E150" s="1009"/>
      <c r="F150" s="1010">
        <f>SUM(F141:F148)</f>
        <v>0</v>
      </c>
      <c r="G150" s="1008"/>
      <c r="H150" s="1008"/>
      <c r="I150" s="1011">
        <f t="shared" si="22"/>
        <v>0</v>
      </c>
      <c r="J150" s="1012">
        <f>J141+J145</f>
        <v>0</v>
      </c>
      <c r="K150" s="1013"/>
      <c r="L150" s="1013"/>
      <c r="M150" s="1014">
        <f>SUM(J150:L150)</f>
        <v>0</v>
      </c>
    </row>
    <row r="151" spans="1:13" s="372" customFormat="1" ht="15.75" hidden="1" thickTop="1" x14ac:dyDescent="0.2">
      <c r="A151" s="371"/>
      <c r="B151" s="1015"/>
      <c r="C151" s="1016"/>
      <c r="D151" s="1016"/>
      <c r="E151" s="1017"/>
      <c r="F151" s="1018"/>
      <c r="G151" s="1016"/>
      <c r="H151" s="1016"/>
      <c r="I151" s="1019"/>
      <c r="J151" s="1018"/>
      <c r="K151" s="1016"/>
      <c r="L151" s="1016"/>
      <c r="M151" s="1019"/>
    </row>
    <row r="152" spans="1:13" ht="15" hidden="1" x14ac:dyDescent="0.25">
      <c r="B152" s="373" t="s">
        <v>498</v>
      </c>
      <c r="C152" s="374">
        <f>C136+C149</f>
        <v>0</v>
      </c>
      <c r="D152" s="374"/>
      <c r="E152" s="375"/>
      <c r="F152" s="376">
        <f t="shared" ref="F152" si="23">F136+F149</f>
        <v>0</v>
      </c>
      <c r="G152" s="374"/>
      <c r="H152" s="374"/>
      <c r="I152" s="377">
        <f>SUM(F152:H152)</f>
        <v>0</v>
      </c>
      <c r="J152" s="376">
        <f>J136+J149</f>
        <v>0</v>
      </c>
      <c r="K152" s="374"/>
      <c r="L152" s="374"/>
      <c r="M152" s="377">
        <f>SUM(J152:L152)</f>
        <v>0</v>
      </c>
    </row>
    <row r="153" spans="1:13" ht="15.75" hidden="1" thickBot="1" x14ac:dyDescent="0.3">
      <c r="B153" s="1020" t="s">
        <v>499</v>
      </c>
      <c r="C153" s="1021">
        <f>C137+C150</f>
        <v>0</v>
      </c>
      <c r="D153" s="1021"/>
      <c r="E153" s="1022"/>
      <c r="F153" s="1023">
        <f t="shared" ref="F153" si="24">F137+F150</f>
        <v>0</v>
      </c>
      <c r="G153" s="1024"/>
      <c r="H153" s="1024"/>
      <c r="I153" s="1025">
        <f>SUM(F153:H153)</f>
        <v>0</v>
      </c>
      <c r="J153" s="1023">
        <f>J137+J150</f>
        <v>0</v>
      </c>
      <c r="K153" s="1024"/>
      <c r="L153" s="1024"/>
      <c r="M153" s="1025">
        <f>SUM(J153:L153)</f>
        <v>0</v>
      </c>
    </row>
    <row r="154" spans="1:13" hidden="1" x14ac:dyDescent="0.2"/>
    <row r="155" spans="1:13" hidden="1" x14ac:dyDescent="0.2">
      <c r="B155" s="280" t="s">
        <v>488</v>
      </c>
      <c r="C155" s="339" t="s">
        <v>466</v>
      </c>
      <c r="D155" s="339"/>
      <c r="E155" s="339"/>
      <c r="F155" s="339" t="s">
        <v>465</v>
      </c>
      <c r="G155" s="380"/>
      <c r="H155" s="380"/>
    </row>
    <row r="156" spans="1:13" ht="15" hidden="1" x14ac:dyDescent="0.2">
      <c r="B156" s="35" t="s">
        <v>57</v>
      </c>
      <c r="C156" s="347" t="s">
        <v>447</v>
      </c>
      <c r="D156" s="347"/>
      <c r="E156" s="347"/>
      <c r="F156" s="347" t="s">
        <v>447</v>
      </c>
      <c r="G156" s="347"/>
      <c r="H156" s="347"/>
    </row>
    <row r="157" spans="1:13" ht="15" hidden="1" x14ac:dyDescent="0.2">
      <c r="B157" s="110" t="s">
        <v>488</v>
      </c>
      <c r="C157" s="382">
        <f>F157/365</f>
        <v>0</v>
      </c>
      <c r="D157" s="382"/>
      <c r="E157" s="382"/>
      <c r="F157" s="382">
        <f>E102</f>
        <v>0</v>
      </c>
      <c r="G157" s="382"/>
      <c r="H157" s="382"/>
    </row>
    <row r="158" spans="1:13" ht="30" hidden="1" x14ac:dyDescent="0.2">
      <c r="B158" s="145" t="s">
        <v>626</v>
      </c>
      <c r="C158" s="381">
        <f>AVERAGE(C59:N59)</f>
        <v>0</v>
      </c>
      <c r="D158" s="381"/>
      <c r="E158" s="381"/>
      <c r="F158" s="381">
        <f>O58</f>
        <v>0</v>
      </c>
      <c r="G158" s="381"/>
      <c r="H158" s="381"/>
    </row>
    <row r="159" spans="1:13" ht="15" hidden="1" x14ac:dyDescent="0.2">
      <c r="B159" s="145" t="s">
        <v>627</v>
      </c>
      <c r="C159" s="381">
        <f>F159/365</f>
        <v>0</v>
      </c>
      <c r="D159" s="381"/>
      <c r="E159" s="381"/>
      <c r="F159" s="381">
        <f>O60</f>
        <v>0</v>
      </c>
      <c r="G159" s="381"/>
      <c r="H159" s="381"/>
    </row>
    <row r="160" spans="1:13" hidden="1" x14ac:dyDescent="0.2"/>
    <row r="161" hidden="1" x14ac:dyDescent="0.2"/>
  </sheetData>
  <sheetProtection algorithmName="SHA-512" hashValue="n1/dJiN6oeAr+2LBjk1t0aLEfgDWotI5N1l/rdqeWCO2m8pt7oeQCu4OU094JTg5DlgGx43YTq9EHtDO3/OwyA==" saltValue="w5v6uMc8BSh7epnva+jrfw==" spinCount="100000" sheet="1" objects="1" scenarios="1" selectLockedCells="1"/>
  <customSheetViews>
    <customSheetView guid="{27ECCA9D-8222-4026-A3C8-C768CAE028E0}" scale="60" fitToPage="1" hiddenRows="1" hiddenColumns="1" topLeftCell="A70">
      <selection activeCell="C57" sqref="C57"/>
      <rowBreaks count="1" manualBreakCount="1">
        <brk id="48" max="17" man="1"/>
      </rowBreaks>
      <pageMargins left="0.7" right="0.7" top="0.75" bottom="0.75" header="0.3" footer="0.3"/>
      <printOptions gridLines="1"/>
      <pageSetup scale="38" fitToHeight="0" orientation="landscape" r:id="rId1"/>
      <headerFooter>
        <oddFooter>&amp;LApril 2014&amp;C&amp;A&amp;RPage &amp;P of &amp;N</oddFooter>
      </headerFooter>
    </customSheetView>
    <customSheetView guid="{D635BEAF-4410-44C3-8109-399BEE34BBD8}" scale="60" fitToPage="1" hiddenRows="1" hiddenColumns="1">
      <selection activeCell="D22" sqref="D22"/>
      <rowBreaks count="1" manualBreakCount="1">
        <brk id="48" max="17" man="1"/>
      </rowBreaks>
      <pageMargins left="0.7" right="0.7" top="0.75" bottom="0.75" header="0.3" footer="0.3"/>
      <printOptions gridLines="1"/>
      <pageSetup scale="38" fitToHeight="0" orientation="landscape" r:id="rId2"/>
      <headerFooter>
        <oddFooter>&amp;LApril 2014&amp;C&amp;A&amp;RPage &amp;P of &amp;N</oddFooter>
      </headerFooter>
    </customSheetView>
  </customSheetViews>
  <mergeCells count="17">
    <mergeCell ref="B8:E10"/>
    <mergeCell ref="B11:E11"/>
    <mergeCell ref="B108:G108"/>
    <mergeCell ref="G97:J97"/>
    <mergeCell ref="K97:N97"/>
    <mergeCell ref="E71:G71"/>
    <mergeCell ref="E72:G72"/>
    <mergeCell ref="E73:G73"/>
    <mergeCell ref="E74:G74"/>
    <mergeCell ref="C45:E45"/>
    <mergeCell ref="K45:M45"/>
    <mergeCell ref="K46:M46"/>
    <mergeCell ref="K47:M47"/>
    <mergeCell ref="C26:E26"/>
    <mergeCell ref="K26:M26"/>
    <mergeCell ref="K27:M27"/>
    <mergeCell ref="K28:M28"/>
  </mergeCells>
  <dataValidations count="1">
    <dataValidation type="list" allowBlank="1" showInputMessage="1" showErrorMessage="1" sqref="J99:J101 N99:N101">
      <formula1>$BG$6:$BG$8</formula1>
    </dataValidation>
  </dataValidations>
  <printOptions gridLines="1"/>
  <pageMargins left="0.7" right="0.7" top="0.75" bottom="0.75" header="0.3" footer="0.3"/>
  <pageSetup scale="38" fitToHeight="0" orientation="landscape" r:id="rId3"/>
  <headerFooter>
    <oddFooter>&amp;LApril 2014&amp;C&amp;A&amp;RPage &amp;P of &amp;N</oddFooter>
  </headerFooter>
  <rowBreaks count="1" manualBreakCount="1">
    <brk id="49" max="17" man="1"/>
  </rowBreaks>
  <legacy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T103"/>
  <sheetViews>
    <sheetView topLeftCell="A52" zoomScale="55" zoomScaleNormal="55" zoomScaleSheetLayoutView="50" workbookViewId="0">
      <selection activeCell="D75" activeCellId="5" sqref="C31:C33 J42:J53 D64:D65 B69 D69:D70 D75"/>
    </sheetView>
  </sheetViews>
  <sheetFormatPr defaultColWidth="8.85546875" defaultRowHeight="15" x14ac:dyDescent="0.25"/>
  <cols>
    <col min="1" max="1" width="2.7109375" style="424" customWidth="1"/>
    <col min="2" max="2" width="39.85546875" style="424" customWidth="1"/>
    <col min="3" max="3" width="19.42578125" style="424" customWidth="1"/>
    <col min="4" max="4" width="22.140625" style="424" customWidth="1"/>
    <col min="5" max="5" width="18.140625" style="424" customWidth="1"/>
    <col min="6" max="6" width="17.85546875" style="424" customWidth="1"/>
    <col min="7" max="7" width="13.85546875" style="424" customWidth="1"/>
    <col min="8" max="8" width="16.5703125" style="424" customWidth="1"/>
    <col min="9" max="9" width="13.7109375" style="424" customWidth="1"/>
    <col min="10" max="10" width="26" style="424" customWidth="1"/>
    <col min="11" max="11" width="21" style="424" customWidth="1"/>
    <col min="12" max="12" width="17.7109375" style="392" customWidth="1"/>
    <col min="13" max="13" width="9.28515625" style="258" customWidth="1"/>
    <col min="14" max="14" width="9.85546875" style="258" customWidth="1"/>
    <col min="15" max="15" width="16.28515625" style="258" customWidth="1"/>
    <col min="16" max="16" width="17.42578125" style="258" customWidth="1"/>
    <col min="17" max="17" width="10.7109375" style="247" customWidth="1"/>
    <col min="18" max="18" width="8.85546875" style="458" customWidth="1"/>
    <col min="19" max="19" width="9.7109375" style="424" customWidth="1"/>
    <col min="20" max="20" width="16.28515625" style="424" bestFit="1" customWidth="1"/>
    <col min="21" max="21" width="13.85546875" style="424" customWidth="1"/>
    <col min="22" max="22" width="18.42578125" style="424" customWidth="1"/>
    <col min="23" max="23" width="13.28515625" style="424" customWidth="1"/>
    <col min="24" max="24" width="13.7109375" style="424" customWidth="1"/>
    <col min="25" max="25" width="15.85546875" style="424" customWidth="1"/>
    <col min="26" max="26" width="14.42578125" style="424" customWidth="1"/>
    <col min="27" max="16384" width="8.85546875" style="424"/>
  </cols>
  <sheetData>
    <row r="1" spans="1:18" s="890" customFormat="1" ht="26.25" x14ac:dyDescent="0.4">
      <c r="A1" s="935" t="s">
        <v>37</v>
      </c>
      <c r="B1" s="889"/>
      <c r="C1" s="889"/>
      <c r="D1" s="889"/>
      <c r="G1" s="907"/>
      <c r="H1" s="907"/>
      <c r="I1" s="907"/>
      <c r="J1" s="889"/>
      <c r="L1" s="1027"/>
      <c r="R1" s="1028"/>
    </row>
    <row r="2" spans="1:18" s="909" customFormat="1" ht="23.25" x14ac:dyDescent="0.35">
      <c r="A2" s="898" t="s">
        <v>795</v>
      </c>
      <c r="B2" s="908"/>
      <c r="C2" s="908"/>
      <c r="D2" s="908"/>
      <c r="G2" s="910"/>
      <c r="H2" s="910"/>
      <c r="I2" s="910"/>
      <c r="J2" s="908"/>
      <c r="L2" s="1026"/>
      <c r="M2" s="886"/>
      <c r="N2" s="886"/>
      <c r="O2" s="886"/>
      <c r="P2" s="886"/>
      <c r="Q2" s="886"/>
      <c r="R2" s="1029"/>
    </row>
    <row r="3" spans="1:18" s="281" customFormat="1" x14ac:dyDescent="0.25">
      <c r="B3" s="390"/>
      <c r="C3" s="390"/>
      <c r="D3" s="390"/>
      <c r="G3" s="391"/>
      <c r="H3" s="391"/>
      <c r="I3" s="391"/>
      <c r="J3" s="390"/>
      <c r="L3" s="392"/>
      <c r="M3" s="258"/>
      <c r="N3" s="258"/>
      <c r="O3" s="258"/>
      <c r="P3" s="259"/>
      <c r="Q3" s="244"/>
      <c r="R3" s="316"/>
    </row>
    <row r="4" spans="1:18" s="281" customFormat="1" x14ac:dyDescent="0.25">
      <c r="B4" s="1030" t="s">
        <v>39</v>
      </c>
      <c r="C4" s="390"/>
      <c r="D4" s="390"/>
      <c r="F4" s="261" t="s">
        <v>38</v>
      </c>
      <c r="G4" s="248"/>
      <c r="H4" s="248"/>
      <c r="I4" s="391"/>
      <c r="J4" s="390"/>
      <c r="L4" s="392"/>
      <c r="M4" s="258"/>
      <c r="N4" s="258"/>
      <c r="O4" s="258"/>
      <c r="P4" s="259"/>
      <c r="Q4" s="244"/>
      <c r="R4" s="316"/>
    </row>
    <row r="5" spans="1:18" s="281" customFormat="1" x14ac:dyDescent="0.25">
      <c r="B5" s="1031" t="str">
        <f>'1. Building Information'!$C$14</f>
        <v>Project Name</v>
      </c>
      <c r="C5" s="390"/>
      <c r="D5" s="390"/>
      <c r="F5" s="262" t="s">
        <v>160</v>
      </c>
      <c r="G5" s="263"/>
      <c r="H5" s="264"/>
      <c r="I5" s="391"/>
      <c r="J5" s="390"/>
      <c r="L5" s="392"/>
      <c r="M5" s="258"/>
      <c r="N5" s="258"/>
      <c r="O5" s="258"/>
      <c r="P5" s="259"/>
      <c r="Q5" s="244"/>
      <c r="R5" s="316"/>
    </row>
    <row r="6" spans="1:18" s="281" customFormat="1" x14ac:dyDescent="0.25">
      <c r="B6" s="266"/>
      <c r="C6" s="390"/>
      <c r="D6" s="390"/>
      <c r="F6" s="393" t="s">
        <v>89</v>
      </c>
      <c r="G6" s="394"/>
      <c r="H6" s="270"/>
      <c r="I6" s="391"/>
      <c r="J6" s="390"/>
      <c r="L6" s="392"/>
      <c r="M6" s="258"/>
      <c r="N6" s="258"/>
      <c r="O6" s="258"/>
      <c r="P6" s="259"/>
      <c r="Q6" s="244"/>
      <c r="R6" s="316"/>
    </row>
    <row r="7" spans="1:18" s="273" customFormat="1" x14ac:dyDescent="0.25">
      <c r="B7" s="260" t="s">
        <v>56</v>
      </c>
      <c r="D7" s="244"/>
      <c r="E7" s="247"/>
      <c r="F7" s="393" t="s">
        <v>86</v>
      </c>
      <c r="G7" s="394"/>
      <c r="H7" s="274"/>
      <c r="I7" s="248"/>
      <c r="J7" s="244"/>
      <c r="K7" s="247"/>
      <c r="L7" s="395"/>
      <c r="M7" s="247"/>
      <c r="N7" s="247"/>
      <c r="O7" s="247"/>
      <c r="P7" s="275"/>
      <c r="Q7" s="248"/>
      <c r="R7" s="396"/>
    </row>
    <row r="8" spans="1:18" s="258" customFormat="1" ht="15" customHeight="1" x14ac:dyDescent="0.25">
      <c r="B8" s="1786" t="s">
        <v>874</v>
      </c>
      <c r="C8" s="1786"/>
      <c r="D8" s="1786"/>
      <c r="E8" s="1786"/>
      <c r="F8" s="393" t="s">
        <v>87</v>
      </c>
      <c r="G8" s="394"/>
      <c r="H8" s="276"/>
      <c r="I8" s="248"/>
      <c r="J8" s="244"/>
      <c r="K8" s="247"/>
      <c r="L8" s="395"/>
      <c r="M8" s="247"/>
      <c r="O8" s="259"/>
      <c r="P8" s="259"/>
      <c r="Q8" s="244"/>
      <c r="R8" s="247"/>
    </row>
    <row r="9" spans="1:18" s="258" customFormat="1" x14ac:dyDescent="0.25">
      <c r="B9" s="1786"/>
      <c r="C9" s="1786"/>
      <c r="D9" s="1786"/>
      <c r="E9" s="1786"/>
      <c r="K9" s="247"/>
      <c r="L9" s="395"/>
      <c r="M9" s="247"/>
      <c r="P9" s="259"/>
      <c r="Q9" s="244"/>
      <c r="R9" s="247"/>
    </row>
    <row r="10" spans="1:18" s="258" customFormat="1" x14ac:dyDescent="0.25">
      <c r="B10" s="1786"/>
      <c r="C10" s="1786"/>
      <c r="D10" s="1786"/>
      <c r="E10" s="1786"/>
      <c r="K10" s="247"/>
      <c r="L10" s="395"/>
      <c r="M10" s="247"/>
      <c r="P10" s="259"/>
      <c r="Q10" s="244"/>
      <c r="R10" s="247"/>
    </row>
    <row r="11" spans="1:18" s="258" customFormat="1" x14ac:dyDescent="0.25">
      <c r="B11" s="1786"/>
      <c r="C11" s="1786"/>
      <c r="D11" s="1786"/>
      <c r="E11" s="1786"/>
      <c r="K11" s="247"/>
      <c r="L11" s="395"/>
      <c r="M11" s="247"/>
      <c r="P11" s="259"/>
      <c r="Q11" s="244"/>
      <c r="R11" s="247"/>
    </row>
    <row r="12" spans="1:18" s="258" customFormat="1" ht="48" customHeight="1" x14ac:dyDescent="0.25">
      <c r="B12" s="1736" t="s">
        <v>871</v>
      </c>
      <c r="C12" s="1736"/>
      <c r="D12" s="1736"/>
      <c r="E12" s="1736"/>
      <c r="F12" s="1736"/>
      <c r="G12" s="1736"/>
      <c r="H12" s="1736"/>
      <c r="K12" s="247"/>
      <c r="L12" s="395"/>
      <c r="M12" s="247"/>
      <c r="P12" s="259"/>
      <c r="Q12" s="244"/>
      <c r="R12" s="247"/>
    </row>
    <row r="13" spans="1:18" s="258" customFormat="1" x14ac:dyDescent="0.25">
      <c r="B13" s="244"/>
      <c r="C13" s="244"/>
      <c r="D13" s="244"/>
      <c r="E13" s="247"/>
      <c r="F13" s="247"/>
      <c r="G13" s="248"/>
      <c r="H13" s="248"/>
      <c r="I13" s="248"/>
      <c r="J13" s="244"/>
      <c r="K13" s="247"/>
      <c r="L13" s="395"/>
      <c r="M13" s="247"/>
      <c r="N13" s="247"/>
      <c r="O13" s="247"/>
      <c r="P13" s="259"/>
      <c r="Q13" s="244"/>
      <c r="R13" s="247"/>
    </row>
    <row r="14" spans="1:18" s="1032" customFormat="1" ht="15.75" x14ac:dyDescent="0.25">
      <c r="B14" s="1033" t="s">
        <v>269</v>
      </c>
      <c r="C14" s="914"/>
      <c r="D14" s="915"/>
      <c r="E14" s="915"/>
      <c r="F14" s="915"/>
      <c r="G14" s="915"/>
      <c r="H14" s="915"/>
      <c r="I14" s="915"/>
      <c r="J14" s="915"/>
      <c r="K14" s="915"/>
      <c r="L14" s="1034"/>
      <c r="M14" s="920"/>
      <c r="N14" s="920"/>
      <c r="O14" s="920"/>
      <c r="P14" s="936"/>
      <c r="Q14" s="959"/>
      <c r="R14" s="1035"/>
    </row>
    <row r="15" spans="1:18" s="258" customFormat="1" x14ac:dyDescent="0.25">
      <c r="B15" s="402" t="s">
        <v>163</v>
      </c>
      <c r="C15" s="403"/>
      <c r="D15" s="259"/>
      <c r="E15" s="259"/>
      <c r="F15" s="259"/>
      <c r="G15" s="259"/>
      <c r="H15" s="259"/>
      <c r="I15" s="259"/>
      <c r="J15" s="259"/>
      <c r="K15" s="259"/>
      <c r="L15" s="404"/>
      <c r="M15" s="259"/>
      <c r="N15" s="259"/>
      <c r="O15" s="259"/>
      <c r="Q15" s="247"/>
      <c r="R15" s="247"/>
    </row>
    <row r="16" spans="1:18" s="258" customFormat="1" ht="15.75" thickBot="1" x14ac:dyDescent="0.3">
      <c r="B16" s="405" t="s">
        <v>363</v>
      </c>
      <c r="C16" s="403"/>
      <c r="D16" s="259"/>
      <c r="E16" s="259"/>
      <c r="F16" s="259"/>
      <c r="G16" s="259"/>
      <c r="H16" s="259"/>
      <c r="I16" s="259"/>
      <c r="J16" s="259"/>
      <c r="K16" s="259"/>
      <c r="L16" s="404"/>
      <c r="M16" s="259"/>
      <c r="N16" s="259"/>
      <c r="O16" s="259"/>
      <c r="Q16" s="247"/>
      <c r="R16" s="247"/>
    </row>
    <row r="17" spans="1:18" s="406" customFormat="1" ht="25.5" x14ac:dyDescent="0.25">
      <c r="B17" s="1036" t="s">
        <v>440</v>
      </c>
      <c r="C17" s="1037" t="str">
        <f>'1. Building Information'!$B$53</f>
        <v>SITE: Project Name -- Project Address</v>
      </c>
      <c r="F17" s="407"/>
      <c r="G17" s="407"/>
      <c r="J17" s="407"/>
      <c r="K17" s="408"/>
      <c r="M17" s="259"/>
      <c r="N17" s="259"/>
      <c r="O17" s="259"/>
      <c r="P17" s="258"/>
      <c r="Q17" s="247"/>
      <c r="R17" s="409"/>
    </row>
    <row r="18" spans="1:18" s="258" customFormat="1" ht="17.100000000000001" customHeight="1" x14ac:dyDescent="0.25">
      <c r="A18" s="261"/>
      <c r="B18" s="410" t="str">
        <f>'1. Building Information'!F100</f>
        <v>Turfgrass</v>
      </c>
      <c r="C18" s="411">
        <f>'1. Building Information'!J100</f>
        <v>0</v>
      </c>
      <c r="D18" s="247" t="s">
        <v>186</v>
      </c>
      <c r="E18" s="247"/>
      <c r="F18" s="247"/>
      <c r="G18" s="247"/>
      <c r="H18" s="247"/>
      <c r="I18" s="1038" t="s">
        <v>199</v>
      </c>
      <c r="J18" s="1039"/>
      <c r="K18" s="1040"/>
      <c r="L18" s="1041" t="s">
        <v>198</v>
      </c>
      <c r="M18" s="1041"/>
      <c r="N18" s="1041"/>
      <c r="O18" s="1041"/>
      <c r="P18" s="1041"/>
      <c r="Q18" s="1041"/>
      <c r="R18" s="1041"/>
    </row>
    <row r="19" spans="1:18" s="258" customFormat="1" ht="17.100000000000001" customHeight="1" x14ac:dyDescent="0.35">
      <c r="B19" s="1079" t="s">
        <v>184</v>
      </c>
      <c r="C19" s="412">
        <v>0.7</v>
      </c>
      <c r="D19" s="413" t="s">
        <v>364</v>
      </c>
      <c r="E19" s="247"/>
      <c r="F19" s="247"/>
      <c r="G19" s="247"/>
      <c r="H19" s="247"/>
      <c r="I19" s="1042" t="s">
        <v>188</v>
      </c>
      <c r="J19" s="959"/>
      <c r="K19" s="959"/>
      <c r="L19" s="959"/>
      <c r="M19" s="959"/>
      <c r="N19" s="959"/>
      <c r="O19" s="959"/>
      <c r="P19" s="959"/>
      <c r="Q19" s="959"/>
      <c r="R19" s="959"/>
    </row>
    <row r="20" spans="1:18" s="258" customFormat="1" ht="17.100000000000001" customHeight="1" x14ac:dyDescent="0.25">
      <c r="B20" s="410" t="str">
        <f>'1. Building Information'!F101</f>
        <v>Landscaped Area</v>
      </c>
      <c r="C20" s="411">
        <f>'1. Building Information'!J101</f>
        <v>0</v>
      </c>
      <c r="D20" s="247" t="s">
        <v>186</v>
      </c>
      <c r="E20" s="247"/>
      <c r="F20" s="247"/>
      <c r="G20" s="247"/>
      <c r="H20" s="247"/>
      <c r="I20" s="959" t="s">
        <v>193</v>
      </c>
      <c r="J20" s="959"/>
      <c r="K20" s="1040"/>
      <c r="L20" s="959"/>
      <c r="M20" s="959"/>
      <c r="N20" s="959"/>
      <c r="O20" s="959"/>
      <c r="P20" s="959"/>
      <c r="Q20" s="959"/>
      <c r="R20" s="959"/>
    </row>
    <row r="21" spans="1:18" s="258" customFormat="1" ht="17.100000000000001" customHeight="1" x14ac:dyDescent="0.35">
      <c r="B21" s="1080" t="s">
        <v>96</v>
      </c>
      <c r="C21" s="762">
        <v>0.5</v>
      </c>
      <c r="D21" s="413" t="s">
        <v>365</v>
      </c>
      <c r="E21" s="247"/>
      <c r="F21" s="247"/>
      <c r="G21" s="247"/>
      <c r="H21" s="247"/>
      <c r="I21" s="959"/>
      <c r="J21" s="959"/>
      <c r="K21" s="959"/>
      <c r="L21" s="959"/>
      <c r="M21" s="959"/>
      <c r="N21" s="1043"/>
      <c r="O21" s="1043"/>
      <c r="P21" s="1044"/>
      <c r="Q21" s="1043"/>
      <c r="R21" s="1043"/>
    </row>
    <row r="22" spans="1:18" s="258" customFormat="1" ht="17.100000000000001" customHeight="1" x14ac:dyDescent="0.35">
      <c r="B22" s="1080" t="s">
        <v>97</v>
      </c>
      <c r="C22" s="762">
        <v>1</v>
      </c>
      <c r="D22" s="413" t="s">
        <v>366</v>
      </c>
      <c r="E22" s="247"/>
      <c r="F22" s="247"/>
      <c r="G22" s="247"/>
      <c r="H22" s="247"/>
      <c r="I22" s="1042" t="s">
        <v>189</v>
      </c>
      <c r="J22" s="959"/>
      <c r="K22" s="959"/>
      <c r="L22" s="959"/>
      <c r="M22" s="959"/>
      <c r="N22" s="959"/>
      <c r="O22" s="959"/>
      <c r="P22" s="1044"/>
      <c r="Q22" s="1043"/>
      <c r="R22" s="1043"/>
    </row>
    <row r="23" spans="1:18" s="258" customFormat="1" ht="17.100000000000001" customHeight="1" x14ac:dyDescent="0.35">
      <c r="B23" s="1080" t="s">
        <v>98</v>
      </c>
      <c r="C23" s="762">
        <v>1</v>
      </c>
      <c r="D23" s="413" t="s">
        <v>367</v>
      </c>
      <c r="E23" s="247"/>
      <c r="F23" s="247"/>
      <c r="G23" s="247"/>
      <c r="H23" s="247"/>
      <c r="I23" s="959" t="s">
        <v>194</v>
      </c>
      <c r="J23" s="959"/>
      <c r="K23" s="959"/>
      <c r="L23" s="959"/>
      <c r="M23" s="959"/>
      <c r="N23" s="959"/>
      <c r="O23" s="959"/>
      <c r="P23" s="1044"/>
      <c r="Q23" s="1043"/>
      <c r="R23" s="1043"/>
    </row>
    <row r="24" spans="1:18" s="258" customFormat="1" ht="17.100000000000001" customHeight="1" x14ac:dyDescent="0.35">
      <c r="B24" s="414" t="s">
        <v>99</v>
      </c>
      <c r="C24" s="415">
        <f>C21*C22*C23</f>
        <v>0.5</v>
      </c>
      <c r="D24" s="413" t="s">
        <v>187</v>
      </c>
      <c r="E24" s="247"/>
      <c r="F24" s="247"/>
      <c r="G24" s="247"/>
      <c r="H24" s="247"/>
      <c r="I24" s="959"/>
      <c r="J24" s="959"/>
      <c r="K24" s="959"/>
      <c r="L24" s="959"/>
      <c r="M24" s="959"/>
      <c r="N24" s="959"/>
      <c r="O24" s="959"/>
      <c r="P24" s="1044"/>
      <c r="Q24" s="1043"/>
      <c r="R24" s="1043"/>
    </row>
    <row r="25" spans="1:18" s="258" customFormat="1" ht="17.100000000000001" customHeight="1" x14ac:dyDescent="0.35">
      <c r="B25" s="410" t="str">
        <f>'1. Building Information'!F102</f>
        <v>Green Roof</v>
      </c>
      <c r="C25" s="411">
        <f>'1. Building Information'!J102</f>
        <v>0</v>
      </c>
      <c r="D25" s="247" t="s">
        <v>186</v>
      </c>
      <c r="E25" s="247"/>
      <c r="F25" s="247"/>
      <c r="G25" s="247"/>
      <c r="H25" s="247"/>
      <c r="I25" s="1042" t="s">
        <v>190</v>
      </c>
      <c r="J25" s="959"/>
      <c r="K25" s="959"/>
      <c r="L25" s="959"/>
      <c r="M25" s="959"/>
      <c r="N25" s="959"/>
      <c r="O25" s="959"/>
      <c r="P25" s="1044"/>
      <c r="Q25" s="1043"/>
      <c r="R25" s="1043"/>
    </row>
    <row r="26" spans="1:18" s="258" customFormat="1" ht="18" x14ac:dyDescent="0.35">
      <c r="B26" s="1080" t="s">
        <v>96</v>
      </c>
      <c r="C26" s="762">
        <v>0.1</v>
      </c>
      <c r="D26" s="413" t="s">
        <v>368</v>
      </c>
      <c r="E26" s="247"/>
      <c r="F26" s="247"/>
      <c r="G26" s="247"/>
      <c r="H26" s="247"/>
      <c r="I26" s="1788" t="s">
        <v>197</v>
      </c>
      <c r="J26" s="1788"/>
      <c r="K26" s="1788"/>
      <c r="L26" s="1788"/>
      <c r="M26" s="1788"/>
      <c r="N26" s="1788"/>
      <c r="O26" s="1788"/>
      <c r="P26" s="1788"/>
      <c r="Q26" s="1788"/>
      <c r="R26" s="1788"/>
    </row>
    <row r="27" spans="1:18" s="258" customFormat="1" ht="17.100000000000001" customHeight="1" x14ac:dyDescent="0.35">
      <c r="B27" s="1080" t="s">
        <v>97</v>
      </c>
      <c r="C27" s="762">
        <v>1</v>
      </c>
      <c r="D27" s="413" t="s">
        <v>366</v>
      </c>
      <c r="E27" s="247"/>
      <c r="F27" s="247"/>
      <c r="G27" s="247"/>
      <c r="H27" s="247"/>
      <c r="I27" s="1253"/>
      <c r="J27" s="1253"/>
      <c r="K27" s="1253"/>
      <c r="L27" s="1253"/>
      <c r="M27" s="1253"/>
      <c r="N27" s="1253"/>
      <c r="O27" s="1253"/>
      <c r="P27" s="1253"/>
      <c r="Q27" s="1043"/>
      <c r="R27" s="1043"/>
    </row>
    <row r="28" spans="1:18" s="258" customFormat="1" ht="17.100000000000001" customHeight="1" x14ac:dyDescent="0.35">
      <c r="B28" s="1080" t="s">
        <v>98</v>
      </c>
      <c r="C28" s="762">
        <v>1.2</v>
      </c>
      <c r="D28" s="413" t="s">
        <v>369</v>
      </c>
      <c r="E28" s="247"/>
      <c r="F28" s="247"/>
      <c r="G28" s="247"/>
      <c r="H28" s="247"/>
      <c r="I28" s="1253"/>
      <c r="J28" s="1253"/>
      <c r="K28" s="1253"/>
      <c r="L28" s="1253"/>
      <c r="M28" s="1253"/>
      <c r="N28" s="1253"/>
      <c r="O28" s="1253"/>
      <c r="P28" s="1253"/>
      <c r="Q28" s="1043"/>
      <c r="R28" s="1043"/>
    </row>
    <row r="29" spans="1:18" s="258" customFormat="1" ht="17.100000000000001" customHeight="1" x14ac:dyDescent="0.35">
      <c r="B29" s="414" t="s">
        <v>99</v>
      </c>
      <c r="C29" s="415">
        <f>C26*C27*C28</f>
        <v>0.12</v>
      </c>
      <c r="D29" s="413" t="s">
        <v>187</v>
      </c>
      <c r="E29" s="247"/>
      <c r="F29" s="247"/>
      <c r="G29" s="247"/>
      <c r="H29" s="247"/>
      <c r="I29" s="1042" t="s">
        <v>191</v>
      </c>
      <c r="J29" s="1045"/>
      <c r="K29" s="1045"/>
      <c r="L29" s="1045"/>
      <c r="M29" s="1045"/>
      <c r="N29" s="1045"/>
      <c r="O29" s="959"/>
      <c r="P29" s="1044"/>
      <c r="Q29" s="1043"/>
      <c r="R29" s="1043"/>
    </row>
    <row r="30" spans="1:18" s="258" customFormat="1" ht="36" customHeight="1" x14ac:dyDescent="0.25">
      <c r="B30" s="416" t="str">
        <f>'1. Building Information'!F103</f>
        <v>Other &lt;Please Specify&gt;</v>
      </c>
      <c r="C30" s="411">
        <f>'1. Building Information'!J103</f>
        <v>0</v>
      </c>
      <c r="D30" s="247" t="s">
        <v>186</v>
      </c>
      <c r="E30" s="247"/>
      <c r="F30" s="247"/>
      <c r="G30" s="247"/>
      <c r="H30" s="247"/>
      <c r="I30" s="1788" t="s">
        <v>196</v>
      </c>
      <c r="J30" s="1788"/>
      <c r="K30" s="1788"/>
      <c r="L30" s="1788"/>
      <c r="M30" s="1788"/>
      <c r="N30" s="1788"/>
      <c r="O30" s="1788"/>
      <c r="P30" s="1788"/>
      <c r="Q30" s="1788"/>
      <c r="R30" s="1788"/>
    </row>
    <row r="31" spans="1:18" s="258" customFormat="1" ht="17.100000000000001" customHeight="1" x14ac:dyDescent="0.35">
      <c r="B31" s="1080" t="s">
        <v>96</v>
      </c>
      <c r="C31" s="189">
        <v>0.5</v>
      </c>
      <c r="D31" s="413" t="s">
        <v>370</v>
      </c>
      <c r="E31" s="247"/>
      <c r="F31" s="247"/>
      <c r="G31" s="247"/>
      <c r="H31" s="247"/>
      <c r="I31" s="1253"/>
      <c r="J31" s="1253"/>
      <c r="K31" s="1253"/>
      <c r="L31" s="1253"/>
      <c r="M31" s="1253"/>
      <c r="N31" s="1253"/>
      <c r="O31" s="1253"/>
      <c r="P31" s="1253"/>
      <c r="Q31" s="1043"/>
      <c r="R31" s="1043"/>
    </row>
    <row r="32" spans="1:18" s="258" customFormat="1" ht="17.100000000000001" customHeight="1" x14ac:dyDescent="0.35">
      <c r="B32" s="1080" t="s">
        <v>97</v>
      </c>
      <c r="C32" s="189">
        <v>1</v>
      </c>
      <c r="D32" s="413" t="s">
        <v>371</v>
      </c>
      <c r="E32" s="247"/>
      <c r="F32" s="247"/>
      <c r="G32" s="247"/>
      <c r="H32" s="247"/>
      <c r="I32" s="1253"/>
      <c r="J32" s="1253"/>
      <c r="K32" s="1253"/>
      <c r="L32" s="1253"/>
      <c r="M32" s="1253"/>
      <c r="N32" s="1253"/>
      <c r="O32" s="1253"/>
      <c r="P32" s="1253"/>
      <c r="Q32" s="1043"/>
      <c r="R32" s="1043"/>
    </row>
    <row r="33" spans="1:20" s="258" customFormat="1" ht="17.100000000000001" customHeight="1" x14ac:dyDescent="0.35">
      <c r="B33" s="1080" t="s">
        <v>98</v>
      </c>
      <c r="C33" s="189">
        <v>1</v>
      </c>
      <c r="D33" s="413" t="s">
        <v>372</v>
      </c>
      <c r="E33" s="247"/>
      <c r="F33" s="247"/>
      <c r="G33" s="247"/>
      <c r="H33" s="247"/>
      <c r="I33" s="1046"/>
      <c r="J33" s="1046"/>
      <c r="K33" s="1046"/>
      <c r="L33" s="1046"/>
      <c r="M33" s="1046"/>
      <c r="N33" s="1046"/>
      <c r="O33" s="959"/>
      <c r="P33" s="1044"/>
      <c r="Q33" s="1043"/>
      <c r="R33" s="1043"/>
    </row>
    <row r="34" spans="1:20" s="258" customFormat="1" ht="17.100000000000001" customHeight="1" x14ac:dyDescent="0.35">
      <c r="B34" s="414" t="s">
        <v>99</v>
      </c>
      <c r="C34" s="415">
        <f>C31*C32*C33</f>
        <v>0.5</v>
      </c>
      <c r="D34" s="413" t="s">
        <v>187</v>
      </c>
      <c r="E34" s="247"/>
      <c r="F34" s="247"/>
      <c r="G34" s="247"/>
      <c r="H34" s="247"/>
      <c r="I34" s="1042" t="s">
        <v>192</v>
      </c>
      <c r="J34" s="1046"/>
      <c r="K34" s="1046"/>
      <c r="L34" s="1046"/>
      <c r="M34" s="1046"/>
      <c r="N34" s="1046"/>
      <c r="O34" s="959"/>
      <c r="P34" s="1044"/>
      <c r="Q34" s="1043"/>
      <c r="R34" s="1043"/>
    </row>
    <row r="35" spans="1:20" s="258" customFormat="1" ht="45.75" customHeight="1" x14ac:dyDescent="0.25">
      <c r="A35" s="261"/>
      <c r="B35" s="417" t="s">
        <v>34</v>
      </c>
      <c r="C35" s="418">
        <f>SUM(C20,C18,C25,C30)</f>
        <v>0</v>
      </c>
      <c r="D35" s="247" t="s">
        <v>186</v>
      </c>
      <c r="E35" s="247"/>
      <c r="F35" s="247"/>
      <c r="G35" s="247"/>
      <c r="H35" s="247"/>
      <c r="I35" s="1788" t="s">
        <v>195</v>
      </c>
      <c r="J35" s="1788"/>
      <c r="K35" s="1788"/>
      <c r="L35" s="1788"/>
      <c r="M35" s="1788"/>
      <c r="N35" s="1788"/>
      <c r="O35" s="1788"/>
      <c r="P35" s="1788"/>
      <c r="Q35" s="1788"/>
      <c r="R35" s="1788"/>
    </row>
    <row r="36" spans="1:20" s="258" customFormat="1" ht="17.100000000000001" customHeight="1" x14ac:dyDescent="0.25">
      <c r="A36" s="419"/>
      <c r="B36" s="420" t="s">
        <v>35</v>
      </c>
      <c r="C36" s="421">
        <f>IF(C35&gt;0,(C18*C19+C20*C24+C25*C29+C30*C34)/C35,0)</f>
        <v>0</v>
      </c>
      <c r="D36" s="247"/>
      <c r="E36" s="247"/>
      <c r="F36" s="247"/>
      <c r="G36" s="247"/>
      <c r="H36" s="247"/>
      <c r="I36" s="1253"/>
      <c r="J36" s="1253"/>
      <c r="K36" s="1253"/>
      <c r="L36" s="1253"/>
      <c r="M36" s="1253"/>
      <c r="N36" s="1253"/>
      <c r="O36" s="1253"/>
      <c r="P36" s="1253"/>
      <c r="Q36" s="1043"/>
      <c r="R36" s="1043"/>
    </row>
    <row r="37" spans="1:20" s="258" customFormat="1" ht="39" customHeight="1" x14ac:dyDescent="0.25">
      <c r="B37" s="1081" t="s">
        <v>36</v>
      </c>
      <c r="C37" s="1527">
        <v>0.9</v>
      </c>
      <c r="D37" s="1789" t="s">
        <v>373</v>
      </c>
      <c r="E37" s="1790"/>
      <c r="F37" s="1790"/>
      <c r="G37" s="1790"/>
      <c r="H37" s="247"/>
      <c r="I37" s="1253"/>
      <c r="J37" s="1253"/>
      <c r="K37" s="1253"/>
      <c r="L37" s="1253"/>
      <c r="M37" s="1253"/>
      <c r="N37" s="1253"/>
      <c r="O37" s="1253"/>
      <c r="P37" s="1253"/>
      <c r="Q37" s="1043"/>
      <c r="R37" s="1043"/>
    </row>
    <row r="38" spans="1:20" ht="15" customHeight="1" thickBot="1" x14ac:dyDescent="0.3">
      <c r="A38" s="423"/>
      <c r="J38" s="425"/>
      <c r="P38" s="426"/>
      <c r="Q38" s="427"/>
      <c r="R38" s="427"/>
      <c r="S38" s="428"/>
      <c r="T38" s="428"/>
    </row>
    <row r="39" spans="1:20" ht="43.5" customHeight="1" thickBot="1" x14ac:dyDescent="0.25">
      <c r="A39" s="423"/>
      <c r="B39" s="429"/>
      <c r="C39" s="430"/>
      <c r="D39" s="431"/>
      <c r="E39" s="1047" t="str">
        <f>'1. Building Information'!$B$53</f>
        <v>SITE: Project Name -- Project Address</v>
      </c>
      <c r="F39" s="1048"/>
      <c r="G39" s="1048"/>
      <c r="H39" s="1048"/>
      <c r="I39" s="1048"/>
      <c r="J39" s="1049"/>
      <c r="L39" s="424"/>
      <c r="M39" s="424"/>
      <c r="N39" s="424"/>
      <c r="O39" s="424"/>
      <c r="P39" s="424"/>
      <c r="Q39" s="424"/>
      <c r="R39" s="424"/>
    </row>
    <row r="40" spans="1:20" ht="66" customHeight="1" thickBot="1" x14ac:dyDescent="0.25">
      <c r="A40" s="423"/>
      <c r="B40" s="1050" t="s">
        <v>22</v>
      </c>
      <c r="C40" s="1051" t="s">
        <v>93</v>
      </c>
      <c r="D40" s="1052" t="s">
        <v>94</v>
      </c>
      <c r="E40" s="943" t="s">
        <v>84</v>
      </c>
      <c r="F40" s="1791" t="s">
        <v>21</v>
      </c>
      <c r="G40" s="1792"/>
      <c r="H40" s="1793"/>
      <c r="I40" s="944" t="s">
        <v>95</v>
      </c>
      <c r="J40" s="945" t="s">
        <v>597</v>
      </c>
      <c r="L40" s="424"/>
      <c r="M40" s="424"/>
      <c r="N40" s="424"/>
      <c r="O40" s="424"/>
      <c r="P40" s="424"/>
      <c r="Q40" s="424"/>
      <c r="R40" s="424"/>
    </row>
    <row r="41" spans="1:20" ht="45" x14ac:dyDescent="0.25">
      <c r="A41" s="423"/>
      <c r="B41" s="1053"/>
      <c r="C41" s="1054" t="s">
        <v>23</v>
      </c>
      <c r="D41" s="1055" t="s">
        <v>838</v>
      </c>
      <c r="E41" s="1056" t="s">
        <v>839</v>
      </c>
      <c r="F41" s="1054" t="s">
        <v>100</v>
      </c>
      <c r="G41" s="1054" t="s">
        <v>6</v>
      </c>
      <c r="H41" s="1054" t="s">
        <v>25</v>
      </c>
      <c r="I41" s="1054"/>
      <c r="J41" s="1057" t="s">
        <v>24</v>
      </c>
      <c r="K41" s="1058" t="s">
        <v>598</v>
      </c>
      <c r="L41" s="1059" t="s">
        <v>599</v>
      </c>
      <c r="M41" s="432" t="s">
        <v>22</v>
      </c>
      <c r="N41" s="433" t="s">
        <v>26</v>
      </c>
      <c r="O41" s="434" t="s">
        <v>27</v>
      </c>
      <c r="P41" s="424"/>
      <c r="Q41" s="424"/>
      <c r="R41" s="424"/>
    </row>
    <row r="42" spans="1:20" ht="15" customHeight="1" x14ac:dyDescent="0.25">
      <c r="A42" s="423"/>
      <c r="B42" s="435" t="s">
        <v>28</v>
      </c>
      <c r="C42" s="436">
        <f>Rainwater!B26</f>
        <v>2.33</v>
      </c>
      <c r="D42" s="861">
        <f>Rainwater!E26</f>
        <v>0.50334699999999999</v>
      </c>
      <c r="E42" s="437">
        <f>Rainwater!F26</f>
        <v>0</v>
      </c>
      <c r="F42" s="443">
        <f>Rainwater!G26/10/7.48</f>
        <v>0</v>
      </c>
      <c r="G42" s="443">
        <f>F42*7.48</f>
        <v>0</v>
      </c>
      <c r="H42" s="443">
        <f>G42/'5. Outdoor Non-Potable Supply'!D29</f>
        <v>0</v>
      </c>
      <c r="I42" s="444">
        <f t="shared" ref="I42:I53" si="0">IF($G$54=0,0,G42/$G$54)</f>
        <v>0</v>
      </c>
      <c r="J42" s="388"/>
      <c r="K42" s="242">
        <f>SUM(G42)</f>
        <v>0</v>
      </c>
      <c r="L42" s="439">
        <f>SUM(J42)</f>
        <v>0</v>
      </c>
      <c r="M42" s="440" t="s">
        <v>28</v>
      </c>
      <c r="N42" s="441">
        <f>IF((E42*O42)-C42&gt;0, ((E42*O42)-C42)/$C$37,0)</f>
        <v>0</v>
      </c>
      <c r="O42" s="442">
        <v>31</v>
      </c>
      <c r="P42" s="424"/>
      <c r="Q42" s="424"/>
      <c r="R42" s="424"/>
    </row>
    <row r="43" spans="1:20" ht="15" customHeight="1" x14ac:dyDescent="0.25">
      <c r="A43" s="423"/>
      <c r="B43" s="435" t="s">
        <v>29</v>
      </c>
      <c r="C43" s="436">
        <f>Rainwater!B27</f>
        <v>4.7000000000000011</v>
      </c>
      <c r="D43" s="861">
        <f>Rainwater!E27</f>
        <v>0.5599900000000001</v>
      </c>
      <c r="E43" s="437">
        <f>Rainwater!$F27</f>
        <v>0</v>
      </c>
      <c r="F43" s="443">
        <f>Rainwater!G27/10/7.48</f>
        <v>0</v>
      </c>
      <c r="G43" s="443">
        <f>F43*7.48</f>
        <v>0</v>
      </c>
      <c r="H43" s="443">
        <f>G43/'5. Outdoor Non-Potable Supply'!D30</f>
        <v>0</v>
      </c>
      <c r="I43" s="444">
        <f t="shared" si="0"/>
        <v>0</v>
      </c>
      <c r="J43" s="388"/>
      <c r="K43" s="242">
        <f t="shared" ref="K43:K53" si="1">SUM(G43)</f>
        <v>0</v>
      </c>
      <c r="L43" s="439">
        <f t="shared" ref="L43:L53" si="2">SUM(J43)</f>
        <v>0</v>
      </c>
      <c r="M43" s="440" t="s">
        <v>29</v>
      </c>
      <c r="N43" s="441">
        <f t="shared" ref="N43:N53" si="3">IF((E43*O43)-C43&gt;0, ((E43*O43)-C43)/$C$37,0)</f>
        <v>0</v>
      </c>
      <c r="O43" s="442">
        <v>28</v>
      </c>
      <c r="P43" s="424"/>
      <c r="Q43" s="424"/>
      <c r="R43" s="424"/>
    </row>
    <row r="44" spans="1:20" ht="15" customHeight="1" x14ac:dyDescent="0.25">
      <c r="A44" s="423"/>
      <c r="B44" s="435" t="s">
        <v>30</v>
      </c>
      <c r="C44" s="436">
        <f>Rainwater!B28</f>
        <v>3.5999999999999996</v>
      </c>
      <c r="D44" s="861">
        <f>Rainwater!E28</f>
        <v>1.3166629999999997</v>
      </c>
      <c r="E44" s="437">
        <f>Rainwater!$F28</f>
        <v>0</v>
      </c>
      <c r="F44" s="443">
        <f>Rainwater!G28/10/7.48</f>
        <v>0</v>
      </c>
      <c r="G44" s="443">
        <f t="shared" ref="G44:G50" si="4">F44*7.48</f>
        <v>0</v>
      </c>
      <c r="H44" s="443">
        <f>G44/'5. Outdoor Non-Potable Supply'!D31</f>
        <v>0</v>
      </c>
      <c r="I44" s="444">
        <f t="shared" si="0"/>
        <v>0</v>
      </c>
      <c r="J44" s="388"/>
      <c r="K44" s="242">
        <f t="shared" si="1"/>
        <v>0</v>
      </c>
      <c r="L44" s="439">
        <f t="shared" si="2"/>
        <v>0</v>
      </c>
      <c r="M44" s="440" t="s">
        <v>30</v>
      </c>
      <c r="N44" s="441">
        <f t="shared" si="3"/>
        <v>0</v>
      </c>
      <c r="O44" s="442">
        <v>31</v>
      </c>
      <c r="P44" s="424"/>
      <c r="Q44" s="424"/>
      <c r="R44" s="424"/>
    </row>
    <row r="45" spans="1:20" ht="15" customHeight="1" x14ac:dyDescent="0.25">
      <c r="A45" s="423"/>
      <c r="B45" s="435" t="s">
        <v>31</v>
      </c>
      <c r="C45" s="436">
        <f>Rainwater!$B29</f>
        <v>2.7500000000000004</v>
      </c>
      <c r="D45" s="861">
        <f>Rainwater!E29</f>
        <v>2.3666700000000009</v>
      </c>
      <c r="E45" s="437">
        <f>Rainwater!$F29</f>
        <v>0</v>
      </c>
      <c r="F45" s="443">
        <f>Rainwater!G29/10/7.48</f>
        <v>0</v>
      </c>
      <c r="G45" s="443">
        <f t="shared" si="4"/>
        <v>0</v>
      </c>
      <c r="H45" s="443">
        <f>G45/'5. Outdoor Non-Potable Supply'!D32</f>
        <v>0</v>
      </c>
      <c r="I45" s="444">
        <f t="shared" si="0"/>
        <v>0</v>
      </c>
      <c r="J45" s="388"/>
      <c r="K45" s="242">
        <f t="shared" si="1"/>
        <v>0</v>
      </c>
      <c r="L45" s="439">
        <f t="shared" si="2"/>
        <v>0</v>
      </c>
      <c r="M45" s="440" t="s">
        <v>31</v>
      </c>
      <c r="N45" s="441">
        <f t="shared" si="3"/>
        <v>0</v>
      </c>
      <c r="O45" s="442">
        <v>30</v>
      </c>
      <c r="P45" s="424"/>
      <c r="Q45" s="424"/>
      <c r="R45" s="424"/>
    </row>
    <row r="46" spans="1:20" ht="15" customHeight="1" x14ac:dyDescent="0.25">
      <c r="A46" s="445"/>
      <c r="B46" s="435" t="s">
        <v>32</v>
      </c>
      <c r="C46" s="436">
        <f>Rainwater!$B30</f>
        <v>3.25</v>
      </c>
      <c r="D46" s="861">
        <f>Rainwater!E30</f>
        <v>3.3799920000000001</v>
      </c>
      <c r="E46" s="437">
        <f>Rainwater!$F30</f>
        <v>0</v>
      </c>
      <c r="F46" s="443">
        <f>Rainwater!G30/10/7.48</f>
        <v>0</v>
      </c>
      <c r="G46" s="443">
        <f t="shared" si="4"/>
        <v>0</v>
      </c>
      <c r="H46" s="443">
        <f>G46/'5. Outdoor Non-Potable Supply'!D33</f>
        <v>0</v>
      </c>
      <c r="I46" s="444">
        <f t="shared" si="0"/>
        <v>0</v>
      </c>
      <c r="J46" s="388"/>
      <c r="K46" s="242">
        <f t="shared" si="1"/>
        <v>0</v>
      </c>
      <c r="L46" s="439">
        <f t="shared" si="2"/>
        <v>0</v>
      </c>
      <c r="M46" s="440" t="s">
        <v>32</v>
      </c>
      <c r="N46" s="441">
        <f t="shared" si="3"/>
        <v>0</v>
      </c>
      <c r="O46" s="442">
        <v>31</v>
      </c>
      <c r="P46" s="424"/>
      <c r="Q46" s="424"/>
      <c r="R46" s="424"/>
    </row>
    <row r="47" spans="1:20" ht="15" customHeight="1" x14ac:dyDescent="0.25">
      <c r="A47" s="445"/>
      <c r="B47" s="435" t="s">
        <v>33</v>
      </c>
      <c r="C47" s="436">
        <f>Rainwater!$B31</f>
        <v>3.55</v>
      </c>
      <c r="D47" s="861">
        <f>Rainwater!E31</f>
        <v>4.3666799999999997</v>
      </c>
      <c r="E47" s="437">
        <f>Rainwater!$F31</f>
        <v>0</v>
      </c>
      <c r="F47" s="443">
        <f>Rainwater!G31/10/7.48</f>
        <v>0</v>
      </c>
      <c r="G47" s="443">
        <f t="shared" si="4"/>
        <v>0</v>
      </c>
      <c r="H47" s="443">
        <f>G47/'5. Outdoor Non-Potable Supply'!D34</f>
        <v>0</v>
      </c>
      <c r="I47" s="444">
        <f t="shared" si="0"/>
        <v>0</v>
      </c>
      <c r="J47" s="388"/>
      <c r="K47" s="242">
        <f t="shared" si="1"/>
        <v>0</v>
      </c>
      <c r="L47" s="439">
        <f t="shared" si="2"/>
        <v>0</v>
      </c>
      <c r="M47" s="440" t="s">
        <v>33</v>
      </c>
      <c r="N47" s="441">
        <f t="shared" si="3"/>
        <v>0</v>
      </c>
      <c r="O47" s="442">
        <v>30</v>
      </c>
      <c r="P47" s="424"/>
      <c r="Q47" s="424"/>
      <c r="R47" s="424"/>
    </row>
    <row r="48" spans="1:20" ht="15" customHeight="1" x14ac:dyDescent="0.25">
      <c r="A48" s="446"/>
      <c r="B48" s="435" t="s">
        <v>8</v>
      </c>
      <c r="C48" s="436">
        <f>Rainwater!$B32</f>
        <v>3.3000000000000003</v>
      </c>
      <c r="D48" s="861">
        <f>Rainwater!E32</f>
        <v>4.7800140000000013</v>
      </c>
      <c r="E48" s="437">
        <f>Rainwater!$F32</f>
        <v>0</v>
      </c>
      <c r="F48" s="443">
        <f>Rainwater!G32/10/7.48</f>
        <v>0</v>
      </c>
      <c r="G48" s="443">
        <f t="shared" si="4"/>
        <v>0</v>
      </c>
      <c r="H48" s="443">
        <f>G48/'5. Outdoor Non-Potable Supply'!D35</f>
        <v>0</v>
      </c>
      <c r="I48" s="444">
        <f t="shared" si="0"/>
        <v>0</v>
      </c>
      <c r="J48" s="388"/>
      <c r="K48" s="242">
        <f t="shared" si="1"/>
        <v>0</v>
      </c>
      <c r="L48" s="439">
        <f t="shared" si="2"/>
        <v>0</v>
      </c>
      <c r="M48" s="440" t="s">
        <v>8</v>
      </c>
      <c r="N48" s="441">
        <f t="shared" si="3"/>
        <v>0</v>
      </c>
      <c r="O48" s="442">
        <v>31</v>
      </c>
      <c r="P48" s="424"/>
      <c r="Q48" s="424"/>
      <c r="R48" s="424"/>
    </row>
    <row r="49" spans="1:18" ht="15" customHeight="1" x14ac:dyDescent="0.25">
      <c r="A49" s="423"/>
      <c r="B49" s="435" t="s">
        <v>9</v>
      </c>
      <c r="C49" s="436">
        <f>Rainwater!$B33</f>
        <v>3.21</v>
      </c>
      <c r="D49" s="861">
        <f>Rainwater!E33</f>
        <v>3.9999920000000007</v>
      </c>
      <c r="E49" s="437">
        <f>Rainwater!$F33</f>
        <v>0</v>
      </c>
      <c r="F49" s="443">
        <f>Rainwater!G33/10/7.48</f>
        <v>0</v>
      </c>
      <c r="G49" s="443">
        <f t="shared" si="4"/>
        <v>0</v>
      </c>
      <c r="H49" s="443">
        <f>G49/'5. Outdoor Non-Potable Supply'!D36</f>
        <v>0</v>
      </c>
      <c r="I49" s="444">
        <f t="shared" si="0"/>
        <v>0</v>
      </c>
      <c r="J49" s="388"/>
      <c r="K49" s="242">
        <f t="shared" si="1"/>
        <v>0</v>
      </c>
      <c r="L49" s="439">
        <f t="shared" si="2"/>
        <v>0</v>
      </c>
      <c r="M49" s="440" t="s">
        <v>9</v>
      </c>
      <c r="N49" s="441">
        <f t="shared" si="3"/>
        <v>0</v>
      </c>
      <c r="O49" s="442">
        <v>31</v>
      </c>
      <c r="P49" s="424"/>
      <c r="Q49" s="424"/>
      <c r="R49" s="424"/>
    </row>
    <row r="50" spans="1:18" ht="15" customHeight="1" x14ac:dyDescent="0.25">
      <c r="B50" s="435" t="s">
        <v>0</v>
      </c>
      <c r="C50" s="436">
        <f>Rainwater!$B22</f>
        <v>6.74</v>
      </c>
      <c r="D50" s="861">
        <f>Rainwater!E22</f>
        <v>2.7099900000000012</v>
      </c>
      <c r="E50" s="437">
        <f>Rainwater!$F22</f>
        <v>0</v>
      </c>
      <c r="F50" s="443">
        <f>Rainwater!G22/10/7.48</f>
        <v>0</v>
      </c>
      <c r="G50" s="443">
        <f t="shared" si="4"/>
        <v>0</v>
      </c>
      <c r="H50" s="443">
        <f>G50/'5. Outdoor Non-Potable Supply'!D37</f>
        <v>0</v>
      </c>
      <c r="I50" s="444">
        <f t="shared" si="0"/>
        <v>0</v>
      </c>
      <c r="J50" s="388"/>
      <c r="K50" s="242">
        <f t="shared" si="1"/>
        <v>0</v>
      </c>
      <c r="L50" s="439">
        <f t="shared" si="2"/>
        <v>0</v>
      </c>
      <c r="M50" s="440" t="s">
        <v>0</v>
      </c>
      <c r="N50" s="441">
        <f t="shared" si="3"/>
        <v>0</v>
      </c>
      <c r="O50" s="442">
        <v>30</v>
      </c>
      <c r="P50" s="424"/>
      <c r="Q50" s="424"/>
      <c r="R50" s="424"/>
    </row>
    <row r="51" spans="1:18" ht="15" customHeight="1" x14ac:dyDescent="0.25">
      <c r="B51" s="435" t="s">
        <v>2</v>
      </c>
      <c r="C51" s="436">
        <f>Rainwater!$B23</f>
        <v>3.52</v>
      </c>
      <c r="D51" s="861">
        <f>Rainwater!E23</f>
        <v>1.673349</v>
      </c>
      <c r="E51" s="437">
        <f>Rainwater!$F23</f>
        <v>0</v>
      </c>
      <c r="F51" s="443">
        <f>Rainwater!G23/10/7.48</f>
        <v>0</v>
      </c>
      <c r="G51" s="443">
        <f t="shared" ref="G51:G53" si="5">F51*7.48</f>
        <v>0</v>
      </c>
      <c r="H51" s="443">
        <f>G51/'5. Outdoor Non-Potable Supply'!D38</f>
        <v>0</v>
      </c>
      <c r="I51" s="444">
        <f t="shared" si="0"/>
        <v>0</v>
      </c>
      <c r="J51" s="388"/>
      <c r="K51" s="242">
        <f t="shared" si="1"/>
        <v>0</v>
      </c>
      <c r="L51" s="439">
        <f t="shared" si="2"/>
        <v>0</v>
      </c>
      <c r="M51" s="440" t="s">
        <v>2</v>
      </c>
      <c r="N51" s="441">
        <f t="shared" si="3"/>
        <v>0</v>
      </c>
      <c r="O51" s="442">
        <v>31</v>
      </c>
      <c r="P51" s="424"/>
      <c r="Q51" s="424"/>
      <c r="R51" s="424"/>
    </row>
    <row r="52" spans="1:18" ht="15" customHeight="1" x14ac:dyDescent="0.25">
      <c r="B52" s="435" t="s">
        <v>3</v>
      </c>
      <c r="C52" s="436">
        <f>Rainwater!$B24</f>
        <v>3.3400000000000003</v>
      </c>
      <c r="D52" s="861">
        <f>Rainwater!E24</f>
        <v>0.61668000000000023</v>
      </c>
      <c r="E52" s="437">
        <f>Rainwater!$F24</f>
        <v>0</v>
      </c>
      <c r="F52" s="443">
        <f>Rainwater!G24/10/7.48</f>
        <v>0</v>
      </c>
      <c r="G52" s="443">
        <f t="shared" si="5"/>
        <v>0</v>
      </c>
      <c r="H52" s="443">
        <f>G52/'5. Outdoor Non-Potable Supply'!D39</f>
        <v>0</v>
      </c>
      <c r="I52" s="444">
        <f t="shared" si="0"/>
        <v>0</v>
      </c>
      <c r="J52" s="388"/>
      <c r="K52" s="242">
        <f t="shared" si="1"/>
        <v>0</v>
      </c>
      <c r="L52" s="439">
        <f t="shared" si="2"/>
        <v>0</v>
      </c>
      <c r="M52" s="440" t="s">
        <v>3</v>
      </c>
      <c r="N52" s="441">
        <f t="shared" si="3"/>
        <v>0</v>
      </c>
      <c r="O52" s="442">
        <v>30</v>
      </c>
      <c r="P52" s="424"/>
      <c r="Q52" s="424"/>
      <c r="R52" s="424"/>
    </row>
    <row r="53" spans="1:18" ht="15" customHeight="1" thickBot="1" x14ac:dyDescent="0.3">
      <c r="B53" s="447" t="s">
        <v>4</v>
      </c>
      <c r="C53" s="448">
        <f>Rainwater!$B25</f>
        <v>5.969999999999998</v>
      </c>
      <c r="D53" s="861">
        <f>Rainwater!E25</f>
        <v>0.36332000000000014</v>
      </c>
      <c r="E53" s="449">
        <f>Rainwater!$F25</f>
        <v>0</v>
      </c>
      <c r="F53" s="443">
        <f>Rainwater!G25/10/7.48</f>
        <v>0</v>
      </c>
      <c r="G53" s="443">
        <f t="shared" si="5"/>
        <v>0</v>
      </c>
      <c r="H53" s="443">
        <f>G53/'5. Outdoor Non-Potable Supply'!D40</f>
        <v>0</v>
      </c>
      <c r="I53" s="712">
        <f t="shared" si="0"/>
        <v>0</v>
      </c>
      <c r="J53" s="389"/>
      <c r="K53" s="242">
        <f t="shared" si="1"/>
        <v>0</v>
      </c>
      <c r="L53" s="439">
        <f t="shared" si="2"/>
        <v>0</v>
      </c>
      <c r="M53" s="440" t="s">
        <v>4</v>
      </c>
      <c r="N53" s="441">
        <f t="shared" si="3"/>
        <v>0</v>
      </c>
      <c r="O53" s="442">
        <v>31</v>
      </c>
      <c r="P53" s="424"/>
      <c r="Q53" s="424"/>
      <c r="R53" s="424"/>
    </row>
    <row r="54" spans="1:18" ht="15" customHeight="1" thickTop="1" thickBot="1" x14ac:dyDescent="0.3">
      <c r="B54" s="450" t="s">
        <v>20</v>
      </c>
      <c r="C54" s="451">
        <f>SUM(C42:C53)</f>
        <v>46.260000000000012</v>
      </c>
      <c r="D54" s="451">
        <f>Rainwater!E34</f>
        <v>26.636687000000002</v>
      </c>
      <c r="E54" s="715">
        <f>SUM(IF(Rainwater!F34=(SUM('4. Outdoor Water Demand'!E42:E53)), SUM('4. Outdoor Water Demand'!E42:E53), 0))</f>
        <v>0</v>
      </c>
      <c r="F54" s="240">
        <f t="shared" ref="F54" si="6">SUM(F42:F53)</f>
        <v>0</v>
      </c>
      <c r="G54" s="240">
        <f>SUM(G42:G53)</f>
        <v>0</v>
      </c>
      <c r="H54" s="240"/>
      <c r="I54" s="713">
        <f>SUM(I42:I53)</f>
        <v>0</v>
      </c>
      <c r="J54" s="240">
        <f>SUM(J42:J53)</f>
        <v>0</v>
      </c>
      <c r="K54" s="452">
        <f>SUM(K42:K53)</f>
        <v>0</v>
      </c>
      <c r="L54" s="453">
        <f>SUM(L42:L53)</f>
        <v>0</v>
      </c>
      <c r="M54" s="454"/>
      <c r="N54" s="455">
        <f>SUM(N42:N53)</f>
        <v>0</v>
      </c>
      <c r="O54" s="456">
        <f>SUM(O42:O53)</f>
        <v>365</v>
      </c>
      <c r="P54" s="424"/>
      <c r="Q54" s="424"/>
      <c r="R54" s="424"/>
    </row>
    <row r="55" spans="1:18" ht="15" customHeight="1" x14ac:dyDescent="0.25">
      <c r="B55" s="1522" t="s">
        <v>735</v>
      </c>
      <c r="I55" s="457"/>
    </row>
    <row r="56" spans="1:18" ht="15" customHeight="1" x14ac:dyDescent="0.25">
      <c r="B56" s="1522" t="s">
        <v>652</v>
      </c>
    </row>
    <row r="57" spans="1:18" ht="15" customHeight="1" x14ac:dyDescent="0.25">
      <c r="D57" s="458"/>
      <c r="E57" s="458"/>
    </row>
    <row r="58" spans="1:18" s="1060" customFormat="1" ht="15" customHeight="1" x14ac:dyDescent="0.25">
      <c r="B58" s="893" t="s">
        <v>270</v>
      </c>
      <c r="L58" s="1061"/>
      <c r="M58" s="936"/>
      <c r="N58" s="936"/>
      <c r="O58" s="936"/>
      <c r="P58" s="936"/>
      <c r="Q58" s="959"/>
      <c r="R58" s="1062"/>
    </row>
    <row r="59" spans="1:18" ht="15" customHeight="1" x14ac:dyDescent="0.25">
      <c r="B59" s="402" t="s">
        <v>163</v>
      </c>
    </row>
    <row r="60" spans="1:18" ht="15" customHeight="1" x14ac:dyDescent="0.25">
      <c r="B60" s="459" t="s">
        <v>271</v>
      </c>
    </row>
    <row r="61" spans="1:18" ht="15" customHeight="1" thickBot="1" x14ac:dyDescent="0.3">
      <c r="B61" s="247"/>
      <c r="C61" s="244"/>
      <c r="D61" s="244"/>
      <c r="E61" s="247"/>
      <c r="F61" s="247"/>
      <c r="G61" s="248"/>
      <c r="H61" s="248"/>
    </row>
    <row r="62" spans="1:18" ht="54.75" customHeight="1" x14ac:dyDescent="0.25">
      <c r="B62" s="247"/>
      <c r="C62" s="244"/>
      <c r="D62" s="1063" t="str">
        <f>'1. Building Information'!$B$53</f>
        <v>SITE: Project Name -- Project Address</v>
      </c>
      <c r="E62" s="1064"/>
      <c r="F62" s="1063" t="s">
        <v>442</v>
      </c>
      <c r="G62" s="1064"/>
      <c r="H62" s="258"/>
      <c r="I62" s="258"/>
    </row>
    <row r="63" spans="1:18" ht="29.25" customHeight="1" x14ac:dyDescent="0.25">
      <c r="C63" s="244"/>
      <c r="D63" s="1065" t="s">
        <v>136</v>
      </c>
      <c r="E63" s="934" t="s">
        <v>59</v>
      </c>
      <c r="F63" s="1066" t="s">
        <v>263</v>
      </c>
      <c r="G63" s="1067" t="s">
        <v>59</v>
      </c>
      <c r="H63" s="258"/>
      <c r="I63" s="258"/>
    </row>
    <row r="64" spans="1:18" ht="15" customHeight="1" x14ac:dyDescent="0.25">
      <c r="B64" s="328" t="s">
        <v>796</v>
      </c>
      <c r="C64" s="244"/>
      <c r="D64" s="127">
        <v>0</v>
      </c>
      <c r="E64" s="1488" t="s">
        <v>25</v>
      </c>
      <c r="F64" s="460">
        <f>SUM(D64)</f>
        <v>0</v>
      </c>
      <c r="G64" s="1528" t="s">
        <v>25</v>
      </c>
      <c r="H64" s="258"/>
      <c r="I64" s="258"/>
    </row>
    <row r="65" spans="2:14" ht="15" customHeight="1" thickBot="1" x14ac:dyDescent="0.3">
      <c r="B65" s="461"/>
      <c r="C65" s="244"/>
      <c r="D65" s="128">
        <v>0</v>
      </c>
      <c r="E65" s="1529" t="s">
        <v>130</v>
      </c>
      <c r="F65" s="1068"/>
      <c r="G65" s="1530"/>
      <c r="H65" s="258"/>
      <c r="I65" s="258"/>
    </row>
    <row r="66" spans="2:14" ht="15" customHeight="1" thickTop="1" x14ac:dyDescent="0.25">
      <c r="B66" s="328"/>
      <c r="C66" s="244"/>
      <c r="D66" s="241">
        <f>D64*D65</f>
        <v>0</v>
      </c>
      <c r="E66" s="412" t="s">
        <v>124</v>
      </c>
      <c r="F66" s="462">
        <f>SUM(D66)</f>
        <v>0</v>
      </c>
      <c r="G66" s="1531" t="s">
        <v>124</v>
      </c>
      <c r="H66" s="258"/>
      <c r="I66" s="258"/>
    </row>
    <row r="67" spans="2:14" ht="15" customHeight="1" x14ac:dyDescent="0.25">
      <c r="B67" s="328"/>
      <c r="C67" s="244"/>
      <c r="D67" s="1069"/>
      <c r="E67" s="934"/>
      <c r="F67" s="1070"/>
      <c r="G67" s="1071"/>
      <c r="H67" s="258"/>
      <c r="I67" s="258"/>
    </row>
    <row r="68" spans="2:14" ht="15" customHeight="1" x14ac:dyDescent="0.25">
      <c r="B68" s="328" t="s">
        <v>135</v>
      </c>
      <c r="C68" s="244"/>
      <c r="D68" s="1072"/>
      <c r="E68" s="934"/>
      <c r="F68" s="1073"/>
      <c r="G68" s="1074"/>
      <c r="H68" s="258"/>
      <c r="I68" s="258"/>
    </row>
    <row r="69" spans="2:14" ht="15" customHeight="1" x14ac:dyDescent="0.25">
      <c r="B69" s="728" t="s">
        <v>785</v>
      </c>
      <c r="C69" s="463"/>
      <c r="D69" s="127">
        <v>0</v>
      </c>
      <c r="E69" s="1488" t="s">
        <v>25</v>
      </c>
      <c r="F69" s="464">
        <f>SUM(D69)</f>
        <v>0</v>
      </c>
      <c r="G69" s="1532" t="s">
        <v>25</v>
      </c>
      <c r="H69" s="258"/>
      <c r="I69" s="258"/>
      <c r="L69" s="465"/>
      <c r="M69" s="466"/>
      <c r="N69" s="247"/>
    </row>
    <row r="70" spans="2:14" ht="15" customHeight="1" thickBot="1" x14ac:dyDescent="0.3">
      <c r="C70" s="244"/>
      <c r="D70" s="128">
        <v>0</v>
      </c>
      <c r="E70" s="1529" t="s">
        <v>130</v>
      </c>
      <c r="F70" s="1068"/>
      <c r="G70" s="1530"/>
      <c r="H70" s="258"/>
      <c r="I70" s="258"/>
      <c r="L70" s="465"/>
      <c r="M70" s="466"/>
      <c r="N70" s="247"/>
    </row>
    <row r="71" spans="2:14" ht="15" customHeight="1" thickTop="1" thickBot="1" x14ac:dyDescent="0.3">
      <c r="B71" s="461"/>
      <c r="C71" s="244"/>
      <c r="D71" s="243">
        <f>D69*D70</f>
        <v>0</v>
      </c>
      <c r="E71" s="1533" t="s">
        <v>124</v>
      </c>
      <c r="F71" s="462">
        <f>SUM(D71)</f>
        <v>0</v>
      </c>
      <c r="G71" s="1531" t="s">
        <v>124</v>
      </c>
      <c r="H71" s="258"/>
      <c r="I71" s="258"/>
      <c r="L71" s="465"/>
      <c r="M71" s="466"/>
      <c r="N71" s="247"/>
    </row>
    <row r="72" spans="2:14" ht="15" customHeight="1" x14ac:dyDescent="0.25">
      <c r="B72" s="247"/>
      <c r="C72" s="244"/>
      <c r="D72" s="244"/>
      <c r="E72" s="247"/>
      <c r="F72" s="467">
        <f>SUM(F64,F69)</f>
        <v>0</v>
      </c>
      <c r="G72" s="1534" t="s">
        <v>25</v>
      </c>
      <c r="H72" s="258"/>
      <c r="I72" s="258"/>
      <c r="L72" s="465"/>
      <c r="M72" s="466"/>
      <c r="N72" s="247"/>
    </row>
    <row r="73" spans="2:14" ht="27" customHeight="1" thickBot="1" x14ac:dyDescent="0.3">
      <c r="F73" s="468">
        <f>SUM(F66,F71)</f>
        <v>0</v>
      </c>
      <c r="G73" s="1535" t="s">
        <v>124</v>
      </c>
      <c r="H73" s="258"/>
      <c r="I73" s="258"/>
      <c r="L73" s="465"/>
      <c r="M73" s="466"/>
      <c r="N73" s="247"/>
    </row>
    <row r="74" spans="2:14" ht="27" customHeight="1" thickBot="1" x14ac:dyDescent="0.3">
      <c r="B74" s="1252"/>
      <c r="C74" s="1252"/>
      <c r="H74" s="258"/>
      <c r="I74" s="258"/>
      <c r="L74" s="465"/>
      <c r="M74" s="466"/>
      <c r="N74" s="247"/>
    </row>
    <row r="75" spans="2:14" ht="59.25" customHeight="1" thickBot="1" x14ac:dyDescent="0.3">
      <c r="B75" s="1787" t="s">
        <v>783</v>
      </c>
      <c r="C75" s="1787"/>
      <c r="D75" s="183">
        <v>0</v>
      </c>
      <c r="E75" s="1536" t="s">
        <v>124</v>
      </c>
      <c r="F75" s="469">
        <f>SUM(D75)</f>
        <v>0</v>
      </c>
      <c r="G75" s="1537" t="s">
        <v>124</v>
      </c>
      <c r="H75" s="258"/>
      <c r="I75" s="258"/>
      <c r="L75" s="465"/>
      <c r="M75" s="466"/>
      <c r="N75" s="247"/>
    </row>
    <row r="76" spans="2:14" ht="47.25" customHeight="1" x14ac:dyDescent="0.25">
      <c r="B76" s="1785" t="s">
        <v>784</v>
      </c>
      <c r="C76" s="1785"/>
      <c r="D76" s="1785"/>
      <c r="E76" s="1785"/>
      <c r="F76" s="1785"/>
      <c r="G76" s="1785"/>
      <c r="H76" s="1785"/>
      <c r="I76" s="446"/>
    </row>
    <row r="78" spans="2:14" s="972" customFormat="1" ht="18.75" x14ac:dyDescent="0.3">
      <c r="B78" s="1752" t="s">
        <v>176</v>
      </c>
      <c r="C78" s="1752"/>
      <c r="D78" s="1752"/>
      <c r="E78" s="1752"/>
      <c r="F78" s="1752"/>
      <c r="G78" s="1752"/>
      <c r="H78" s="971"/>
      <c r="I78" s="971"/>
      <c r="J78" s="971"/>
      <c r="K78" s="971"/>
      <c r="L78" s="971"/>
    </row>
    <row r="79" spans="2:14" x14ac:dyDescent="0.25">
      <c r="B79" s="472"/>
      <c r="C79" s="473"/>
      <c r="D79" s="474"/>
      <c r="E79" s="473"/>
      <c r="F79" s="475"/>
      <c r="G79" s="476"/>
      <c r="H79" s="477"/>
      <c r="I79" s="478"/>
      <c r="J79" s="473"/>
      <c r="K79" s="476"/>
    </row>
    <row r="80" spans="2:14" hidden="1" x14ac:dyDescent="0.25">
      <c r="C80" s="479"/>
      <c r="D80" s="458"/>
      <c r="E80" s="446"/>
      <c r="F80" s="446"/>
      <c r="G80" s="446"/>
      <c r="H80" s="480"/>
      <c r="I80" s="480"/>
      <c r="J80" s="480"/>
      <c r="K80" s="446"/>
    </row>
    <row r="81" spans="1:15" ht="16.5" hidden="1" customHeight="1" x14ac:dyDescent="0.25">
      <c r="A81" s="470"/>
    </row>
    <row r="82" spans="1:15" ht="26.25" hidden="1" customHeight="1" x14ac:dyDescent="0.25">
      <c r="A82" s="470"/>
      <c r="B82" s="281"/>
      <c r="C82" s="339" t="s">
        <v>458</v>
      </c>
      <c r="D82" s="339"/>
      <c r="E82" s="339"/>
      <c r="F82" s="339" t="s">
        <v>451</v>
      </c>
      <c r="G82" s="380"/>
      <c r="H82" s="380"/>
      <c r="I82" s="481"/>
      <c r="J82" s="482"/>
    </row>
    <row r="83" spans="1:15" hidden="1" x14ac:dyDescent="0.25">
      <c r="A83" s="483"/>
      <c r="B83" s="281"/>
      <c r="C83" s="484" t="s">
        <v>447</v>
      </c>
      <c r="D83" s="484"/>
      <c r="E83" s="484"/>
      <c r="F83" s="484" t="s">
        <v>447</v>
      </c>
      <c r="G83" s="484"/>
      <c r="H83" s="484"/>
      <c r="I83" s="485" t="s">
        <v>495</v>
      </c>
      <c r="J83" s="486"/>
    </row>
    <row r="84" spans="1:15" hidden="1" x14ac:dyDescent="0.25">
      <c r="A84" s="483"/>
      <c r="B84" s="487" t="s">
        <v>241</v>
      </c>
      <c r="C84" s="382"/>
      <c r="D84" s="382"/>
      <c r="E84" s="382"/>
      <c r="F84" s="382">
        <f>G54</f>
        <v>0</v>
      </c>
      <c r="G84" s="488"/>
      <c r="H84" s="488"/>
      <c r="I84" s="489">
        <f>SUM(F84:H84)</f>
        <v>0</v>
      </c>
      <c r="J84" s="24"/>
    </row>
    <row r="85" spans="1:15" hidden="1" x14ac:dyDescent="0.25">
      <c r="A85" s="490"/>
      <c r="B85" s="487" t="s">
        <v>233</v>
      </c>
      <c r="C85" s="382">
        <f>F85/365</f>
        <v>0</v>
      </c>
      <c r="D85" s="382"/>
      <c r="E85" s="382"/>
      <c r="F85" s="382">
        <f>IF('7. Project Definition'!C52="Manual Entry",0,'4. Outdoor Water Demand'!D66)</f>
        <v>0</v>
      </c>
      <c r="G85" s="488"/>
      <c r="H85" s="488"/>
      <c r="I85" s="489">
        <f t="shared" ref="I85:I86" si="7">SUM(F85:H85)</f>
        <v>0</v>
      </c>
      <c r="J85" s="486"/>
    </row>
    <row r="86" spans="1:15" hidden="1" x14ac:dyDescent="0.25">
      <c r="A86" s="490"/>
      <c r="B86" s="487" t="s">
        <v>10</v>
      </c>
      <c r="C86" s="382">
        <f>F86/365</f>
        <v>0</v>
      </c>
      <c r="D86" s="382"/>
      <c r="E86" s="382"/>
      <c r="F86" s="382">
        <f>IF('7. Project Definition'!C52="Manual Entry",D75,'4. Outdoor Water Demand'!D71)</f>
        <v>0</v>
      </c>
      <c r="G86" s="488"/>
      <c r="H86" s="488"/>
      <c r="I86" s="489">
        <f t="shared" si="7"/>
        <v>0</v>
      </c>
      <c r="J86" s="24"/>
    </row>
    <row r="87" spans="1:15" hidden="1" x14ac:dyDescent="0.25">
      <c r="A87" s="491"/>
      <c r="B87" s="492" t="s">
        <v>20</v>
      </c>
      <c r="C87" s="493">
        <f>SUM(C84:C86)</f>
        <v>0</v>
      </c>
      <c r="D87" s="493"/>
      <c r="E87" s="493"/>
      <c r="F87" s="493">
        <f t="shared" ref="F87:I87" si="8">SUM(F84:F86)</f>
        <v>0</v>
      </c>
      <c r="G87" s="493"/>
      <c r="H87" s="493"/>
      <c r="I87" s="493">
        <f t="shared" si="8"/>
        <v>0</v>
      </c>
      <c r="J87" s="486"/>
    </row>
    <row r="88" spans="1:15" ht="13.5" hidden="1" customHeight="1" x14ac:dyDescent="0.25">
      <c r="A88" s="491"/>
      <c r="B88" s="494"/>
      <c r="C88" s="486"/>
      <c r="D88" s="486"/>
      <c r="E88" s="495"/>
      <c r="F88" s="495"/>
      <c r="G88" s="495"/>
      <c r="H88" s="496"/>
      <c r="I88" s="486"/>
      <c r="J88" s="486"/>
    </row>
    <row r="89" spans="1:15" ht="14.25" hidden="1" customHeight="1" x14ac:dyDescent="0.25">
      <c r="A89" s="483"/>
      <c r="B89" s="497" t="s">
        <v>644</v>
      </c>
      <c r="C89" s="498"/>
      <c r="D89" s="498"/>
      <c r="E89" s="498"/>
      <c r="F89" s="498"/>
      <c r="G89" s="498"/>
      <c r="H89" s="498"/>
      <c r="I89" s="498"/>
      <c r="J89" s="498"/>
    </row>
    <row r="90" spans="1:15" hidden="1" x14ac:dyDescent="0.25">
      <c r="A90" s="483"/>
      <c r="B90" s="499" t="s">
        <v>462</v>
      </c>
      <c r="C90" s="500" t="s">
        <v>28</v>
      </c>
      <c r="D90" s="500" t="s">
        <v>29</v>
      </c>
      <c r="E90" s="501" t="s">
        <v>30</v>
      </c>
      <c r="F90" s="500" t="s">
        <v>31</v>
      </c>
      <c r="G90" s="500" t="s">
        <v>32</v>
      </c>
      <c r="H90" s="501" t="s">
        <v>33</v>
      </c>
      <c r="I90" s="500" t="s">
        <v>8</v>
      </c>
      <c r="J90" s="500" t="s">
        <v>9</v>
      </c>
      <c r="K90" s="501" t="s">
        <v>0</v>
      </c>
      <c r="L90" s="500" t="s">
        <v>2</v>
      </c>
      <c r="M90" s="500" t="s">
        <v>3</v>
      </c>
      <c r="N90" s="501" t="s">
        <v>4</v>
      </c>
      <c r="O90" s="502" t="s">
        <v>20</v>
      </c>
    </row>
    <row r="91" spans="1:15" ht="15" hidden="1" customHeight="1" x14ac:dyDescent="0.25">
      <c r="A91" s="483"/>
      <c r="B91" s="503" t="str">
        <f>E39</f>
        <v>SITE: Project Name -- Project Address</v>
      </c>
      <c r="C91" s="504">
        <f>G42</f>
        <v>0</v>
      </c>
      <c r="D91" s="504">
        <f>G43</f>
        <v>0</v>
      </c>
      <c r="E91" s="504">
        <f>G44</f>
        <v>0</v>
      </c>
      <c r="F91" s="504">
        <f>G45</f>
        <v>0</v>
      </c>
      <c r="G91" s="504">
        <f>G46</f>
        <v>0</v>
      </c>
      <c r="H91" s="504">
        <f>G47</f>
        <v>0</v>
      </c>
      <c r="I91" s="504">
        <f>G48</f>
        <v>0</v>
      </c>
      <c r="J91" s="504">
        <f>G49</f>
        <v>0</v>
      </c>
      <c r="K91" s="504">
        <f>G50</f>
        <v>0</v>
      </c>
      <c r="L91" s="504">
        <f>G51</f>
        <v>0</v>
      </c>
      <c r="M91" s="504">
        <f>G52</f>
        <v>0</v>
      </c>
      <c r="N91" s="504">
        <f>G53</f>
        <v>0</v>
      </c>
      <c r="O91" s="505">
        <f>SUM(C91:N91)</f>
        <v>0</v>
      </c>
    </row>
    <row r="92" spans="1:15" hidden="1" x14ac:dyDescent="0.25">
      <c r="A92" s="483"/>
      <c r="B92" s="499"/>
      <c r="C92" s="504"/>
      <c r="D92" s="504"/>
      <c r="E92" s="504"/>
      <c r="F92" s="504"/>
      <c r="G92" s="504"/>
      <c r="H92" s="504"/>
      <c r="I92" s="504"/>
      <c r="J92" s="504"/>
      <c r="K92" s="504"/>
      <c r="L92" s="504"/>
      <c r="M92" s="504"/>
      <c r="N92" s="504"/>
      <c r="O92" s="505"/>
    </row>
    <row r="93" spans="1:15" hidden="1" x14ac:dyDescent="0.25">
      <c r="B93" s="506"/>
      <c r="C93" s="504"/>
      <c r="D93" s="504"/>
      <c r="E93" s="504"/>
      <c r="F93" s="504"/>
      <c r="G93" s="504"/>
      <c r="H93" s="504"/>
      <c r="I93" s="504"/>
      <c r="J93" s="504"/>
      <c r="K93" s="504"/>
      <c r="L93" s="504"/>
      <c r="M93" s="504"/>
      <c r="N93" s="504"/>
      <c r="O93" s="505"/>
    </row>
    <row r="94" spans="1:15" ht="15.75" hidden="1" customHeight="1" x14ac:dyDescent="0.25">
      <c r="A94" s="507"/>
      <c r="B94" s="492" t="s">
        <v>20</v>
      </c>
      <c r="C94" s="508">
        <f>SUM(C91:C93)</f>
        <v>0</v>
      </c>
      <c r="D94" s="508">
        <f t="shared" ref="D94:N94" si="9">SUM(D91:D93)</f>
        <v>0</v>
      </c>
      <c r="E94" s="508">
        <f t="shared" si="9"/>
        <v>0</v>
      </c>
      <c r="F94" s="508">
        <f t="shared" si="9"/>
        <v>0</v>
      </c>
      <c r="G94" s="508">
        <f t="shared" si="9"/>
        <v>0</v>
      </c>
      <c r="H94" s="508">
        <f t="shared" si="9"/>
        <v>0</v>
      </c>
      <c r="I94" s="508">
        <f t="shared" si="9"/>
        <v>0</v>
      </c>
      <c r="J94" s="508">
        <f t="shared" si="9"/>
        <v>0</v>
      </c>
      <c r="K94" s="508">
        <f t="shared" si="9"/>
        <v>0</v>
      </c>
      <c r="L94" s="508">
        <f t="shared" si="9"/>
        <v>0</v>
      </c>
      <c r="M94" s="508">
        <f t="shared" si="9"/>
        <v>0</v>
      </c>
      <c r="N94" s="508">
        <f t="shared" si="9"/>
        <v>0</v>
      </c>
      <c r="O94" s="505">
        <f t="shared" ref="O94" si="10">SUM(C94:N94)</f>
        <v>0</v>
      </c>
    </row>
    <row r="95" spans="1:15" hidden="1" x14ac:dyDescent="0.25">
      <c r="A95" s="494"/>
      <c r="B95" s="486"/>
      <c r="C95" s="486"/>
      <c r="D95" s="486"/>
      <c r="E95" s="486"/>
      <c r="F95" s="486"/>
      <c r="G95" s="486"/>
      <c r="H95" s="486"/>
      <c r="I95" s="486"/>
      <c r="O95" s="509"/>
    </row>
    <row r="96" spans="1:15" hidden="1" x14ac:dyDescent="0.25">
      <c r="A96" s="494"/>
      <c r="B96" s="486"/>
      <c r="C96" s="486"/>
      <c r="D96" s="486"/>
      <c r="E96" s="486"/>
      <c r="F96" s="486"/>
      <c r="G96" s="486"/>
      <c r="H96" s="486"/>
      <c r="I96" s="486"/>
    </row>
    <row r="97" spans="1:15" ht="14.25" hidden="1" customHeight="1" x14ac:dyDescent="0.25">
      <c r="A97" s="483"/>
      <c r="B97" s="497" t="s">
        <v>699</v>
      </c>
      <c r="C97" s="498"/>
      <c r="D97" s="498"/>
      <c r="E97" s="498"/>
      <c r="F97" s="498"/>
      <c r="G97" s="498"/>
      <c r="H97" s="498"/>
      <c r="I97" s="498"/>
      <c r="J97" s="498"/>
    </row>
    <row r="98" spans="1:15" hidden="1" x14ac:dyDescent="0.25">
      <c r="A98" s="483"/>
      <c r="B98" s="499" t="s">
        <v>462</v>
      </c>
      <c r="C98" s="500" t="s">
        <v>28</v>
      </c>
      <c r="D98" s="500" t="s">
        <v>29</v>
      </c>
      <c r="E98" s="501" t="s">
        <v>30</v>
      </c>
      <c r="F98" s="500" t="s">
        <v>31</v>
      </c>
      <c r="G98" s="500" t="s">
        <v>32</v>
      </c>
      <c r="H98" s="501" t="s">
        <v>33</v>
      </c>
      <c r="I98" s="500" t="s">
        <v>8</v>
      </c>
      <c r="J98" s="500" t="s">
        <v>9</v>
      </c>
      <c r="K98" s="501" t="s">
        <v>0</v>
      </c>
      <c r="L98" s="500" t="s">
        <v>2</v>
      </c>
      <c r="M98" s="500" t="s">
        <v>3</v>
      </c>
      <c r="N98" s="501" t="s">
        <v>4</v>
      </c>
      <c r="O98" s="502" t="s">
        <v>20</v>
      </c>
    </row>
    <row r="99" spans="1:15" ht="15" hidden="1" customHeight="1" x14ac:dyDescent="0.25">
      <c r="A99" s="483"/>
      <c r="B99" s="503" t="str">
        <f>B91</f>
        <v>SITE: Project Name -- Project Address</v>
      </c>
      <c r="C99" s="504">
        <f>J42</f>
        <v>0</v>
      </c>
      <c r="D99" s="504">
        <f>J43</f>
        <v>0</v>
      </c>
      <c r="E99" s="504">
        <f>J44</f>
        <v>0</v>
      </c>
      <c r="F99" s="504">
        <f>J45</f>
        <v>0</v>
      </c>
      <c r="G99" s="504">
        <f>J46</f>
        <v>0</v>
      </c>
      <c r="H99" s="504">
        <f>J47</f>
        <v>0</v>
      </c>
      <c r="I99" s="504">
        <f>J48</f>
        <v>0</v>
      </c>
      <c r="J99" s="504">
        <f>J49</f>
        <v>0</v>
      </c>
      <c r="K99" s="504">
        <f>J50</f>
        <v>0</v>
      </c>
      <c r="L99" s="504">
        <f>J51</f>
        <v>0</v>
      </c>
      <c r="M99" s="504">
        <f>J52</f>
        <v>0</v>
      </c>
      <c r="N99" s="504">
        <f>J53</f>
        <v>0</v>
      </c>
      <c r="O99" s="505">
        <f>SUM(C99:N99)</f>
        <v>0</v>
      </c>
    </row>
    <row r="100" spans="1:15" hidden="1" x14ac:dyDescent="0.25">
      <c r="A100" s="483"/>
      <c r="B100" s="503"/>
      <c r="C100" s="504"/>
      <c r="D100" s="504"/>
      <c r="E100" s="504"/>
      <c r="F100" s="504"/>
      <c r="G100" s="504"/>
      <c r="H100" s="504"/>
      <c r="I100" s="504"/>
      <c r="J100" s="504"/>
      <c r="K100" s="504"/>
      <c r="L100" s="504"/>
      <c r="M100" s="504"/>
      <c r="N100" s="504"/>
      <c r="O100" s="505"/>
    </row>
    <row r="101" spans="1:15" hidden="1" x14ac:dyDescent="0.25">
      <c r="B101" s="503"/>
      <c r="C101" s="504"/>
      <c r="D101" s="504"/>
      <c r="E101" s="504"/>
      <c r="F101" s="504"/>
      <c r="G101" s="504"/>
      <c r="H101" s="504"/>
      <c r="I101" s="504"/>
      <c r="J101" s="504"/>
      <c r="K101" s="504"/>
      <c r="L101" s="504"/>
      <c r="M101" s="504"/>
      <c r="N101" s="504"/>
      <c r="O101" s="505"/>
    </row>
    <row r="102" spans="1:15" ht="15.75" hidden="1" customHeight="1" x14ac:dyDescent="0.25">
      <c r="A102" s="507"/>
      <c r="B102" s="492" t="s">
        <v>20</v>
      </c>
      <c r="C102" s="508">
        <f>SUM(C99:C101)</f>
        <v>0</v>
      </c>
      <c r="D102" s="508">
        <f t="shared" ref="D102:N102" si="11">SUM(D99:D101)</f>
        <v>0</v>
      </c>
      <c r="E102" s="508">
        <f t="shared" si="11"/>
        <v>0</v>
      </c>
      <c r="F102" s="508">
        <f t="shared" si="11"/>
        <v>0</v>
      </c>
      <c r="G102" s="508">
        <f t="shared" si="11"/>
        <v>0</v>
      </c>
      <c r="H102" s="508">
        <f t="shared" si="11"/>
        <v>0</v>
      </c>
      <c r="I102" s="508">
        <f t="shared" si="11"/>
        <v>0</v>
      </c>
      <c r="J102" s="508">
        <f t="shared" si="11"/>
        <v>0</v>
      </c>
      <c r="K102" s="508">
        <f t="shared" si="11"/>
        <v>0</v>
      </c>
      <c r="L102" s="508">
        <f t="shared" si="11"/>
        <v>0</v>
      </c>
      <c r="M102" s="508">
        <f t="shared" si="11"/>
        <v>0</v>
      </c>
      <c r="N102" s="508">
        <f t="shared" si="11"/>
        <v>0</v>
      </c>
      <c r="O102" s="505">
        <f t="shared" ref="O102" si="12">SUM(C102:N102)</f>
        <v>0</v>
      </c>
    </row>
    <row r="103" spans="1:15" hidden="1" x14ac:dyDescent="0.25"/>
  </sheetData>
  <sheetProtection algorithmName="SHA-512" hashValue="aKTLFjmVeIdQE4W9xXWuDzjjf+PxkaDUIyD7GLLE54Ndx+1ZSkDhGCu10qxj7LZqH5ilUh9kMUd6qN09sGRCWw==" saltValue="vqjAV2wuNdxCt1NBX1zHFw==" spinCount="100000" sheet="1" objects="1" scenarios="1" selectLockedCells="1"/>
  <customSheetViews>
    <customSheetView guid="{27ECCA9D-8222-4026-A3C8-C768CAE028E0}" scale="70" fitToPage="1" hiddenRows="1">
      <selection activeCell="C18" sqref="C18"/>
      <rowBreaks count="1" manualBreakCount="1">
        <brk id="62" max="18" man="1"/>
      </rowBreaks>
      <pageMargins left="0.25" right="0.25" top="0.75" bottom="0.75" header="0.3" footer="0.3"/>
      <pageSetup paperSize="17" scale="45" orientation="portrait" r:id="rId1"/>
      <headerFooter alignWithMargins="0">
        <oddFooter>&amp;LApril 2014&amp;C&amp;A&amp;RPage &amp;P of &amp;N</oddFooter>
      </headerFooter>
    </customSheetView>
    <customSheetView guid="{D635BEAF-4410-44C3-8109-399BEE34BBD8}" scale="70" fitToPage="1" hiddenRows="1">
      <selection activeCell="J76" sqref="J76"/>
      <rowBreaks count="1" manualBreakCount="1">
        <brk id="62" max="18" man="1"/>
      </rowBreaks>
      <pageMargins left="0.25" right="0.25" top="0.75" bottom="0.75" header="0.3" footer="0.3"/>
      <pageSetup paperSize="17" scale="45" orientation="portrait" r:id="rId2"/>
      <headerFooter alignWithMargins="0">
        <oddFooter>&amp;LApril 2014&amp;C&amp;A&amp;RPage &amp;P of &amp;N</oddFooter>
      </headerFooter>
    </customSheetView>
  </customSheetViews>
  <mergeCells count="10">
    <mergeCell ref="I26:R26"/>
    <mergeCell ref="I30:R30"/>
    <mergeCell ref="I35:R35"/>
    <mergeCell ref="D37:G37"/>
    <mergeCell ref="F40:H40"/>
    <mergeCell ref="B76:H76"/>
    <mergeCell ref="B78:G78"/>
    <mergeCell ref="B8:E11"/>
    <mergeCell ref="B12:H12"/>
    <mergeCell ref="B75:C75"/>
  </mergeCells>
  <conditionalFormatting sqref="J42:J53">
    <cfRule type="expression" dxfId="48" priority="3">
      <formula>J42&gt;G42</formula>
    </cfRule>
  </conditionalFormatting>
  <hyperlinks>
    <hyperlink ref="L18" r:id="rId3"/>
  </hyperlinks>
  <pageMargins left="0.25" right="0.25" top="0.75" bottom="0.75" header="0.3" footer="0.3"/>
  <pageSetup paperSize="17" scale="45" orientation="portrait" r:id="rId4"/>
  <headerFooter alignWithMargins="0">
    <oddFooter>&amp;LApril 2014&amp;C&amp;A&amp;RPage &amp;P of &amp;N</oddFooter>
  </headerFooter>
  <rowBreaks count="1" manualBreakCount="1">
    <brk id="61" max="18" man="1"/>
  </rowBreaks>
  <drawing r:id="rId5"/>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A1:X48"/>
  <sheetViews>
    <sheetView topLeftCell="A13" zoomScale="55" zoomScaleNormal="55" zoomScaleSheetLayoutView="50" workbookViewId="0">
      <selection activeCell="G29" sqref="G29:G40"/>
    </sheetView>
  </sheetViews>
  <sheetFormatPr defaultColWidth="8.85546875" defaultRowHeight="12.75" x14ac:dyDescent="0.2"/>
  <cols>
    <col min="1" max="1" width="2.7109375" style="424" customWidth="1"/>
    <col min="2" max="2" width="60.5703125" style="424" customWidth="1"/>
    <col min="3" max="3" width="16.85546875" style="424" customWidth="1"/>
    <col min="4" max="4" width="17.5703125" style="424" customWidth="1"/>
    <col min="5" max="6" width="14.7109375" style="424" customWidth="1"/>
    <col min="7" max="7" width="20.42578125" style="424" customWidth="1"/>
    <col min="8" max="8" width="15.140625" style="424" customWidth="1"/>
    <col min="9" max="9" width="18.42578125" style="424" customWidth="1"/>
    <col min="10" max="10" width="20.42578125" style="424" customWidth="1"/>
    <col min="11" max="11" width="19.42578125" style="424" customWidth="1"/>
    <col min="12" max="12" width="16.7109375" style="424" customWidth="1"/>
    <col min="13" max="13" width="20.28515625" style="424" customWidth="1"/>
    <col min="14" max="14" width="14.5703125" style="424" customWidth="1"/>
    <col min="15" max="15" width="14.42578125" style="424" customWidth="1"/>
    <col min="16" max="17" width="8.85546875" style="424" customWidth="1"/>
    <col min="18" max="18" width="9.140625" style="424" customWidth="1"/>
    <col min="19" max="20" width="8.85546875" style="424" customWidth="1"/>
    <col min="21" max="21" width="10.28515625" style="424" customWidth="1"/>
    <col min="22" max="22" width="13" style="424" customWidth="1"/>
    <col min="23" max="23" width="8.85546875" style="424" customWidth="1"/>
    <col min="24" max="16384" width="8.85546875" style="424"/>
  </cols>
  <sheetData>
    <row r="1" spans="1:24" s="890" customFormat="1" ht="26.25" x14ac:dyDescent="0.4">
      <c r="A1" s="935" t="s">
        <v>37</v>
      </c>
      <c r="B1" s="889"/>
      <c r="J1" s="889"/>
      <c r="K1" s="889"/>
    </row>
    <row r="2" spans="1:24" s="909" customFormat="1" ht="23.25" x14ac:dyDescent="0.35">
      <c r="A2" s="898" t="s">
        <v>797</v>
      </c>
      <c r="B2" s="908"/>
      <c r="J2" s="908"/>
      <c r="K2" s="908"/>
    </row>
    <row r="3" spans="1:24" s="258" customFormat="1" ht="15" x14ac:dyDescent="0.25">
      <c r="B3" s="259"/>
      <c r="J3" s="259"/>
      <c r="K3" s="259"/>
    </row>
    <row r="4" spans="1:24" s="258" customFormat="1" ht="15" x14ac:dyDescent="0.25">
      <c r="B4" s="1030" t="s">
        <v>39</v>
      </c>
      <c r="F4" s="261" t="s">
        <v>38</v>
      </c>
      <c r="G4" s="259"/>
      <c r="J4" s="259"/>
      <c r="K4" s="259"/>
    </row>
    <row r="5" spans="1:24" s="258" customFormat="1" ht="15" x14ac:dyDescent="0.25">
      <c r="B5" s="1031" t="str">
        <f>'1. Building Information'!$C$14</f>
        <v>Project Name</v>
      </c>
      <c r="F5" s="262" t="s">
        <v>160</v>
      </c>
      <c r="G5" s="263"/>
      <c r="H5" s="264"/>
      <c r="J5" s="259"/>
      <c r="K5" s="259"/>
    </row>
    <row r="6" spans="1:24" s="258" customFormat="1" ht="15" x14ac:dyDescent="0.25">
      <c r="B6" s="266"/>
      <c r="F6" s="268" t="s">
        <v>89</v>
      </c>
      <c r="G6" s="269"/>
      <c r="H6" s="270"/>
      <c r="J6" s="259"/>
      <c r="K6" s="259"/>
    </row>
    <row r="7" spans="1:24" s="273" customFormat="1" ht="15" x14ac:dyDescent="0.25">
      <c r="B7" s="260" t="s">
        <v>56</v>
      </c>
      <c r="C7" s="247"/>
      <c r="D7" s="247"/>
      <c r="E7" s="247"/>
      <c r="F7" s="513" t="s">
        <v>86</v>
      </c>
      <c r="G7" s="514"/>
      <c r="H7" s="515"/>
      <c r="I7" s="247"/>
      <c r="J7" s="275"/>
      <c r="K7" s="275"/>
    </row>
    <row r="8" spans="1:24" s="258" customFormat="1" ht="15" customHeight="1" x14ac:dyDescent="0.25">
      <c r="B8" s="1672" t="s">
        <v>896</v>
      </c>
      <c r="C8" s="1672"/>
      <c r="D8" s="1672"/>
      <c r="E8" s="259"/>
      <c r="F8" s="268" t="s">
        <v>87</v>
      </c>
      <c r="G8" s="516"/>
      <c r="H8" s="438"/>
      <c r="I8" s="259"/>
      <c r="J8" s="259"/>
      <c r="K8" s="247"/>
      <c r="L8" s="247"/>
    </row>
    <row r="9" spans="1:24" s="258" customFormat="1" ht="18.75" customHeight="1" x14ac:dyDescent="0.25">
      <c r="B9" s="1672"/>
      <c r="C9" s="1672"/>
      <c r="D9" s="1672"/>
      <c r="K9" s="247"/>
    </row>
    <row r="10" spans="1:24" s="258" customFormat="1" ht="46.5" customHeight="1" x14ac:dyDescent="0.25">
      <c r="B10" s="1672" t="s">
        <v>897</v>
      </c>
      <c r="C10" s="1672"/>
      <c r="D10" s="1672"/>
      <c r="E10" s="1672"/>
      <c r="F10" s="1672"/>
      <c r="G10" s="1672"/>
      <c r="K10" s="247"/>
    </row>
    <row r="11" spans="1:24" s="258" customFormat="1" ht="15" x14ac:dyDescent="0.25">
      <c r="B11" s="244"/>
      <c r="C11" s="247"/>
      <c r="D11" s="247"/>
      <c r="E11" s="247"/>
      <c r="F11" s="247"/>
      <c r="G11" s="247"/>
      <c r="H11" s="247"/>
      <c r="I11" s="247"/>
      <c r="J11" s="259"/>
      <c r="K11" s="259"/>
    </row>
    <row r="12" spans="1:24" s="1032" customFormat="1" ht="15.75" x14ac:dyDescent="0.25">
      <c r="B12" s="1033" t="s">
        <v>272</v>
      </c>
      <c r="C12" s="914"/>
      <c r="D12" s="915"/>
      <c r="E12" s="915"/>
      <c r="F12" s="915"/>
      <c r="G12" s="915"/>
      <c r="H12" s="915"/>
      <c r="I12" s="915"/>
      <c r="J12" s="915"/>
      <c r="K12" s="915"/>
      <c r="L12" s="915"/>
      <c r="M12" s="915"/>
      <c r="N12" s="915"/>
      <c r="O12" s="915"/>
      <c r="Q12" s="1035"/>
      <c r="R12" s="1035"/>
      <c r="S12" s="1035"/>
      <c r="T12" s="1035"/>
      <c r="U12" s="1035"/>
      <c r="V12" s="1035"/>
      <c r="W12" s="1035"/>
      <c r="X12" s="1035"/>
    </row>
    <row r="13" spans="1:24" s="406" customFormat="1" ht="15.75" x14ac:dyDescent="0.25">
      <c r="B13" s="517" t="s">
        <v>163</v>
      </c>
      <c r="C13" s="518"/>
      <c r="D13" s="407"/>
      <c r="E13" s="407"/>
      <c r="F13" s="407"/>
      <c r="G13" s="407"/>
      <c r="H13" s="407"/>
      <c r="I13" s="407"/>
      <c r="J13" s="407"/>
      <c r="K13" s="407"/>
      <c r="L13" s="407"/>
      <c r="M13" s="407"/>
      <c r="N13" s="407"/>
      <c r="O13" s="407"/>
      <c r="Q13" s="409"/>
      <c r="R13" s="409"/>
      <c r="S13" s="409"/>
      <c r="T13" s="409"/>
      <c r="U13" s="409"/>
      <c r="V13" s="409"/>
      <c r="W13" s="409"/>
      <c r="X13" s="409"/>
    </row>
    <row r="14" spans="1:24" s="406" customFormat="1" ht="16.5" thickBot="1" x14ac:dyDescent="0.3">
      <c r="B14" s="405" t="s">
        <v>374</v>
      </c>
      <c r="C14" s="518"/>
      <c r="D14" s="407"/>
      <c r="E14" s="407"/>
      <c r="F14" s="407"/>
      <c r="G14" s="407"/>
      <c r="H14" s="407"/>
      <c r="I14" s="407"/>
      <c r="J14" s="407"/>
      <c r="K14" s="407"/>
      <c r="L14" s="407"/>
      <c r="M14" s="407"/>
      <c r="N14" s="407"/>
      <c r="O14" s="407"/>
      <c r="Q14" s="409"/>
      <c r="R14" s="409"/>
      <c r="S14" s="409"/>
      <c r="T14" s="409"/>
      <c r="U14" s="409"/>
      <c r="V14" s="409"/>
      <c r="W14" s="409"/>
      <c r="X14" s="409"/>
    </row>
    <row r="15" spans="1:24" s="406" customFormat="1" ht="57" customHeight="1" thickBot="1" x14ac:dyDescent="0.3">
      <c r="B15" s="519"/>
      <c r="C15" s="1075" t="str">
        <f>'1. Building Information'!$B$53</f>
        <v>SITE: Project Name -- Project Address</v>
      </c>
      <c r="D15" s="407"/>
      <c r="E15" s="407"/>
      <c r="F15" s="407"/>
      <c r="G15" s="407"/>
      <c r="H15" s="407"/>
      <c r="I15" s="407"/>
      <c r="J15" s="407"/>
      <c r="K15" s="407"/>
      <c r="L15" s="407"/>
      <c r="M15" s="407"/>
      <c r="N15" s="407"/>
      <c r="O15" s="407"/>
      <c r="Q15" s="409"/>
      <c r="R15" s="409"/>
      <c r="S15" s="409"/>
      <c r="T15" s="409"/>
      <c r="U15" s="409"/>
      <c r="V15" s="409"/>
      <c r="W15" s="409"/>
      <c r="X15" s="409"/>
    </row>
    <row r="16" spans="1:24" s="406" customFormat="1" ht="18" x14ac:dyDescent="0.25">
      <c r="B16" s="1076" t="str">
        <f>'1. Building Information'!F89</f>
        <v>Roof (Conventional)</v>
      </c>
      <c r="C16" s="520">
        <f>'1. Building Information'!J89</f>
        <v>0</v>
      </c>
      <c r="D16" s="521" t="s">
        <v>203</v>
      </c>
      <c r="E16" s="407"/>
      <c r="G16" s="407"/>
      <c r="H16" s="407"/>
      <c r="I16" s="407"/>
      <c r="J16" s="407"/>
      <c r="K16" s="407"/>
      <c r="L16" s="407"/>
      <c r="M16" s="407"/>
      <c r="N16" s="407"/>
      <c r="O16" s="407"/>
      <c r="Q16" s="409"/>
      <c r="R16" s="409"/>
      <c r="S16" s="409"/>
      <c r="T16" s="409"/>
      <c r="U16" s="409"/>
      <c r="V16" s="409"/>
      <c r="W16" s="409"/>
      <c r="X16" s="409"/>
    </row>
    <row r="17" spans="2:24" s="406" customFormat="1" ht="15.75" x14ac:dyDescent="0.25">
      <c r="B17" s="1077" t="s">
        <v>200</v>
      </c>
      <c r="C17" s="1538">
        <v>0.85</v>
      </c>
      <c r="D17" s="521" t="s">
        <v>375</v>
      </c>
      <c r="E17" s="407"/>
      <c r="G17" s="407"/>
      <c r="H17" s="407"/>
      <c r="I17" s="407"/>
      <c r="J17" s="407"/>
      <c r="K17" s="407"/>
      <c r="L17" s="407"/>
      <c r="M17" s="407"/>
      <c r="N17" s="407"/>
      <c r="O17" s="407"/>
      <c r="Q17" s="409"/>
      <c r="R17" s="409"/>
      <c r="S17" s="409"/>
      <c r="T17" s="409"/>
      <c r="U17" s="409"/>
      <c r="V17" s="409"/>
      <c r="W17" s="409"/>
      <c r="X17" s="409"/>
    </row>
    <row r="18" spans="2:24" s="406" customFormat="1" ht="18" x14ac:dyDescent="0.25">
      <c r="B18" s="1077" t="str">
        <f>'1. Building Information'!F90</f>
        <v>Other &lt;Please Specify&gt;</v>
      </c>
      <c r="C18" s="520">
        <f>'1. Building Information'!J90</f>
        <v>0</v>
      </c>
      <c r="D18" s="521" t="s">
        <v>203</v>
      </c>
      <c r="E18" s="407"/>
      <c r="G18" s="407"/>
      <c r="H18" s="407"/>
      <c r="I18" s="407"/>
      <c r="J18" s="407"/>
      <c r="K18" s="407"/>
      <c r="L18" s="407"/>
      <c r="M18" s="407"/>
      <c r="N18" s="407"/>
      <c r="O18" s="407"/>
      <c r="Q18" s="409"/>
      <c r="R18" s="409"/>
      <c r="S18" s="409"/>
      <c r="T18" s="409"/>
      <c r="U18" s="409"/>
      <c r="V18" s="409"/>
      <c r="W18" s="409"/>
      <c r="X18" s="409"/>
    </row>
    <row r="19" spans="2:24" s="406" customFormat="1" ht="15.75" x14ac:dyDescent="0.25">
      <c r="B19" s="1077" t="s">
        <v>204</v>
      </c>
      <c r="C19" s="1539">
        <v>0.7</v>
      </c>
      <c r="D19" s="522" t="s">
        <v>376</v>
      </c>
      <c r="E19" s="407"/>
      <c r="G19" s="407"/>
      <c r="H19" s="407"/>
      <c r="I19" s="407"/>
      <c r="J19" s="407"/>
      <c r="K19" s="407"/>
      <c r="L19" s="407"/>
      <c r="M19" s="407"/>
      <c r="N19" s="407"/>
      <c r="O19" s="407"/>
      <c r="Q19" s="409"/>
      <c r="R19" s="409"/>
      <c r="S19" s="409"/>
      <c r="T19" s="409"/>
      <c r="U19" s="409"/>
      <c r="V19" s="409"/>
      <c r="W19" s="409"/>
      <c r="X19" s="409"/>
    </row>
    <row r="20" spans="2:24" s="406" customFormat="1" ht="18" x14ac:dyDescent="0.25">
      <c r="B20" s="1077" t="s">
        <v>205</v>
      </c>
      <c r="C20" s="523">
        <f>C16+C18</f>
        <v>0</v>
      </c>
      <c r="D20" s="521" t="s">
        <v>203</v>
      </c>
      <c r="E20" s="407"/>
      <c r="G20" s="407"/>
      <c r="H20" s="407"/>
      <c r="I20" s="407"/>
      <c r="J20" s="407"/>
      <c r="K20" s="407"/>
      <c r="L20" s="407"/>
      <c r="M20" s="407"/>
      <c r="N20" s="407"/>
      <c r="O20" s="407"/>
      <c r="Q20" s="409"/>
      <c r="R20" s="409"/>
      <c r="S20" s="409"/>
      <c r="T20" s="409"/>
      <c r="U20" s="409"/>
      <c r="V20" s="409"/>
      <c r="W20" s="409"/>
      <c r="X20" s="409"/>
    </row>
    <row r="21" spans="2:24" s="406" customFormat="1" ht="16.5" thickBot="1" x14ac:dyDescent="0.3">
      <c r="B21" s="1078" t="s">
        <v>101</v>
      </c>
      <c r="C21" s="524">
        <f>IF(C20&gt;0,(C16*C17+C18*C19)/C20,0)</f>
        <v>0</v>
      </c>
      <c r="D21" s="521"/>
      <c r="E21" s="407"/>
      <c r="G21" s="407"/>
      <c r="H21" s="407"/>
      <c r="I21" s="407"/>
      <c r="J21" s="407"/>
      <c r="K21" s="407"/>
      <c r="L21" s="407"/>
      <c r="M21" s="407"/>
      <c r="N21" s="407"/>
      <c r="O21" s="407"/>
      <c r="Q21" s="409"/>
      <c r="R21" s="409"/>
      <c r="S21" s="409"/>
      <c r="T21" s="409"/>
      <c r="U21" s="409"/>
      <c r="V21" s="409"/>
      <c r="W21" s="409"/>
      <c r="X21" s="409"/>
    </row>
    <row r="22" spans="2:24" s="406" customFormat="1" ht="15.75" x14ac:dyDescent="0.25">
      <c r="B22" s="525"/>
      <c r="C22" s="526"/>
      <c r="D22" s="521"/>
      <c r="E22" s="407"/>
      <c r="G22" s="407"/>
      <c r="H22" s="407"/>
      <c r="I22" s="407"/>
      <c r="J22" s="407"/>
      <c r="K22" s="407"/>
      <c r="L22" s="407"/>
      <c r="M22" s="407"/>
      <c r="N22" s="407"/>
      <c r="O22" s="407"/>
      <c r="Q22" s="409"/>
      <c r="R22" s="409"/>
      <c r="S22" s="409"/>
      <c r="T22" s="409"/>
      <c r="U22" s="409"/>
      <c r="V22" s="409"/>
      <c r="W22" s="409"/>
      <c r="X22" s="409"/>
    </row>
    <row r="23" spans="2:24" s="406" customFormat="1" ht="15.75" hidden="1" x14ac:dyDescent="0.25">
      <c r="B23" s="527" t="s">
        <v>529</v>
      </c>
      <c r="C23" s="528">
        <f>Rainwater!B11</f>
        <v>0</v>
      </c>
      <c r="D23" s="522" t="s">
        <v>731</v>
      </c>
      <c r="E23" s="407"/>
      <c r="G23" s="407"/>
      <c r="H23" s="407"/>
      <c r="I23" s="407"/>
      <c r="J23" s="407"/>
      <c r="K23" s="407"/>
      <c r="L23" s="407"/>
      <c r="M23" s="407"/>
      <c r="N23" s="407"/>
      <c r="O23" s="407"/>
      <c r="Q23" s="409"/>
      <c r="R23" s="409"/>
      <c r="S23" s="409"/>
      <c r="T23" s="409"/>
      <c r="U23" s="409"/>
      <c r="V23" s="409"/>
      <c r="W23" s="409"/>
      <c r="X23" s="409"/>
    </row>
    <row r="24" spans="2:24" s="406" customFormat="1" ht="16.5" hidden="1" thickBot="1" x14ac:dyDescent="0.3">
      <c r="B24" s="755" t="s">
        <v>247</v>
      </c>
      <c r="C24" s="756">
        <f>Rainwater!B12</f>
        <v>0.9</v>
      </c>
      <c r="D24" s="407"/>
      <c r="E24" s="407"/>
      <c r="F24" s="522"/>
      <c r="G24" s="407"/>
      <c r="H24" s="407"/>
      <c r="I24" s="407"/>
      <c r="J24" s="407"/>
      <c r="K24" s="407"/>
      <c r="L24" s="407"/>
      <c r="M24" s="407"/>
      <c r="N24" s="407"/>
      <c r="O24" s="407"/>
      <c r="Q24" s="409"/>
      <c r="R24" s="409"/>
      <c r="S24" s="409"/>
      <c r="T24" s="409"/>
      <c r="U24" s="409"/>
      <c r="V24" s="409"/>
      <c r="W24" s="409"/>
      <c r="X24" s="409"/>
    </row>
    <row r="25" spans="2:24" s="406" customFormat="1" ht="24" customHeight="1" thickBot="1" x14ac:dyDescent="0.3">
      <c r="C25" s="757"/>
      <c r="D25" s="757"/>
      <c r="E25" s="407"/>
      <c r="F25" s="407"/>
      <c r="G25" s="407"/>
      <c r="H25" s="407"/>
      <c r="I25" s="407"/>
      <c r="J25" s="407"/>
      <c r="K25" s="407"/>
      <c r="L25" s="407"/>
      <c r="M25" s="407"/>
      <c r="N25" s="407"/>
      <c r="O25" s="407"/>
      <c r="Q25" s="409"/>
      <c r="R25" s="409"/>
      <c r="S25" s="409"/>
      <c r="T25" s="409"/>
      <c r="U25" s="409"/>
      <c r="V25" s="409"/>
      <c r="W25" s="409"/>
      <c r="X25" s="409"/>
    </row>
    <row r="26" spans="2:24" s="406" customFormat="1" ht="36" customHeight="1" thickBot="1" x14ac:dyDescent="0.3">
      <c r="B26" s="1799" t="s">
        <v>786</v>
      </c>
      <c r="C26" s="1799"/>
      <c r="D26" s="1800"/>
      <c r="E26" s="1796" t="str">
        <f>'1. Building Information'!B53</f>
        <v>SITE: Project Name -- Project Address</v>
      </c>
      <c r="F26" s="1797"/>
      <c r="G26" s="1798"/>
      <c r="H26" s="407"/>
      <c r="I26" s="407"/>
      <c r="J26" s="407"/>
      <c r="K26" s="407"/>
      <c r="L26" s="407"/>
      <c r="M26" s="407"/>
      <c r="N26" s="407"/>
      <c r="O26" s="407"/>
      <c r="Q26" s="409"/>
      <c r="R26" s="409"/>
      <c r="S26" s="409"/>
      <c r="T26" s="409"/>
      <c r="U26" s="409"/>
      <c r="V26" s="409"/>
      <c r="W26" s="409"/>
      <c r="X26" s="409"/>
    </row>
    <row r="27" spans="2:24" s="530" customFormat="1" ht="102" customHeight="1" thickBot="1" x14ac:dyDescent="0.3">
      <c r="B27" s="1256" t="s">
        <v>22</v>
      </c>
      <c r="C27" s="1794" t="s">
        <v>93</v>
      </c>
      <c r="D27" s="1795"/>
      <c r="E27" s="1082" t="s">
        <v>685</v>
      </c>
      <c r="F27" s="1083"/>
      <c r="G27" s="1084" t="s">
        <v>684</v>
      </c>
      <c r="H27" s="407"/>
      <c r="I27" s="407"/>
      <c r="J27" s="407"/>
      <c r="K27" s="407"/>
      <c r="L27" s="407"/>
      <c r="M27" s="407"/>
      <c r="N27" s="529"/>
      <c r="O27" s="529"/>
      <c r="Q27" s="531"/>
      <c r="R27" s="531"/>
      <c r="S27" s="531"/>
      <c r="T27" s="531"/>
      <c r="U27" s="531"/>
      <c r="V27" s="531"/>
      <c r="W27" s="531"/>
      <c r="X27" s="531"/>
    </row>
    <row r="28" spans="2:24" s="530" customFormat="1" ht="45" x14ac:dyDescent="0.25">
      <c r="B28" s="1085"/>
      <c r="C28" s="1086" t="s">
        <v>201</v>
      </c>
      <c r="D28" s="1087" t="s">
        <v>202</v>
      </c>
      <c r="E28" s="1088" t="s">
        <v>6</v>
      </c>
      <c r="F28" s="1089" t="s">
        <v>25</v>
      </c>
      <c r="G28" s="1090" t="s">
        <v>24</v>
      </c>
      <c r="H28" s="1091" t="s">
        <v>695</v>
      </c>
      <c r="I28" s="1091" t="s">
        <v>599</v>
      </c>
      <c r="J28" s="407"/>
      <c r="K28" s="407"/>
      <c r="L28" s="407"/>
      <c r="M28" s="407"/>
      <c r="Q28" s="531"/>
      <c r="R28" s="531"/>
      <c r="S28" s="531"/>
      <c r="T28" s="531"/>
      <c r="U28" s="531"/>
      <c r="V28" s="531"/>
      <c r="W28" s="531"/>
      <c r="X28" s="531"/>
    </row>
    <row r="29" spans="2:24" s="530" customFormat="1" ht="15.75" x14ac:dyDescent="0.25">
      <c r="B29" s="532" t="s">
        <v>28</v>
      </c>
      <c r="C29" s="533">
        <f>Rainwater!$B26</f>
        <v>2.33</v>
      </c>
      <c r="D29" s="1540">
        <v>31</v>
      </c>
      <c r="E29" s="534">
        <f>Rainwater!$J26</f>
        <v>0</v>
      </c>
      <c r="F29" s="535">
        <f>E29/$D29</f>
        <v>0</v>
      </c>
      <c r="G29" s="510"/>
      <c r="H29" s="536">
        <f>E29</f>
        <v>0</v>
      </c>
      <c r="I29" s="537">
        <f>SUM(G29)</f>
        <v>0</v>
      </c>
      <c r="J29" s="407"/>
      <c r="K29" s="407"/>
      <c r="L29" s="407"/>
      <c r="M29" s="407"/>
      <c r="Q29" s="531"/>
      <c r="R29" s="531"/>
      <c r="S29" s="531"/>
      <c r="T29" s="531"/>
      <c r="U29" s="531"/>
      <c r="V29" s="531"/>
      <c r="W29" s="531"/>
      <c r="X29" s="531"/>
    </row>
    <row r="30" spans="2:24" s="530" customFormat="1" ht="15.75" x14ac:dyDescent="0.25">
      <c r="B30" s="532" t="s">
        <v>29</v>
      </c>
      <c r="C30" s="533">
        <f>Rainwater!$B27</f>
        <v>4.7000000000000011</v>
      </c>
      <c r="D30" s="1540">
        <v>28</v>
      </c>
      <c r="E30" s="534">
        <f>Rainwater!$J27</f>
        <v>0</v>
      </c>
      <c r="F30" s="535">
        <f t="shared" ref="F30:F40" si="0">E30/$D30</f>
        <v>0</v>
      </c>
      <c r="G30" s="511"/>
      <c r="H30" s="538">
        <f t="shared" ref="H30:H40" si="1">E30</f>
        <v>0</v>
      </c>
      <c r="I30" s="537">
        <f t="shared" ref="I30:I40" si="2">SUM(G30)</f>
        <v>0</v>
      </c>
      <c r="J30" s="407"/>
      <c r="K30" s="407"/>
      <c r="L30" s="407"/>
      <c r="M30" s="407"/>
      <c r="Q30" s="531"/>
      <c r="R30" s="531"/>
      <c r="S30" s="531"/>
      <c r="T30" s="531"/>
      <c r="U30" s="531"/>
      <c r="V30" s="531"/>
      <c r="W30" s="531"/>
      <c r="X30" s="531"/>
    </row>
    <row r="31" spans="2:24" s="530" customFormat="1" ht="15.75" x14ac:dyDescent="0.25">
      <c r="B31" s="532" t="s">
        <v>30</v>
      </c>
      <c r="C31" s="533">
        <f>Rainwater!$B28</f>
        <v>3.5999999999999996</v>
      </c>
      <c r="D31" s="1540">
        <v>31</v>
      </c>
      <c r="E31" s="534">
        <f>Rainwater!$J28</f>
        <v>0</v>
      </c>
      <c r="F31" s="535">
        <f t="shared" si="0"/>
        <v>0</v>
      </c>
      <c r="G31" s="511"/>
      <c r="H31" s="538">
        <f t="shared" si="1"/>
        <v>0</v>
      </c>
      <c r="I31" s="537">
        <f t="shared" si="2"/>
        <v>0</v>
      </c>
      <c r="J31" s="407"/>
      <c r="K31" s="407"/>
      <c r="L31" s="407"/>
      <c r="M31" s="407"/>
      <c r="Q31" s="531"/>
      <c r="R31" s="531"/>
      <c r="S31" s="531"/>
      <c r="T31" s="531"/>
      <c r="U31" s="531"/>
      <c r="V31" s="531"/>
      <c r="W31" s="531"/>
      <c r="X31" s="531"/>
    </row>
    <row r="32" spans="2:24" s="273" customFormat="1" ht="15.75" x14ac:dyDescent="0.25">
      <c r="B32" s="532" t="s">
        <v>31</v>
      </c>
      <c r="C32" s="533">
        <f>Rainwater!$B29</f>
        <v>2.7500000000000004</v>
      </c>
      <c r="D32" s="1540">
        <v>30</v>
      </c>
      <c r="E32" s="534">
        <f>Rainwater!$J29</f>
        <v>0</v>
      </c>
      <c r="F32" s="535">
        <f t="shared" si="0"/>
        <v>0</v>
      </c>
      <c r="G32" s="511"/>
      <c r="H32" s="538">
        <f t="shared" si="1"/>
        <v>0</v>
      </c>
      <c r="I32" s="537">
        <f t="shared" si="2"/>
        <v>0</v>
      </c>
      <c r="J32" s="407"/>
      <c r="K32" s="407"/>
      <c r="L32" s="407"/>
      <c r="M32" s="407"/>
      <c r="Q32" s="396"/>
      <c r="R32" s="396"/>
      <c r="S32" s="396"/>
      <c r="T32" s="396"/>
      <c r="U32" s="396"/>
      <c r="V32" s="396"/>
      <c r="W32" s="396"/>
      <c r="X32" s="396"/>
    </row>
    <row r="33" spans="1:16" s="396" customFormat="1" ht="15.75" x14ac:dyDescent="0.25">
      <c r="A33" s="539"/>
      <c r="B33" s="532" t="s">
        <v>32</v>
      </c>
      <c r="C33" s="533">
        <f>Rainwater!$B30</f>
        <v>3.25</v>
      </c>
      <c r="D33" s="1540">
        <v>31</v>
      </c>
      <c r="E33" s="534">
        <f>Rainwater!$J30</f>
        <v>0</v>
      </c>
      <c r="F33" s="535">
        <f t="shared" si="0"/>
        <v>0</v>
      </c>
      <c r="G33" s="511"/>
      <c r="H33" s="538">
        <f t="shared" si="1"/>
        <v>0</v>
      </c>
      <c r="I33" s="537">
        <f t="shared" si="2"/>
        <v>0</v>
      </c>
      <c r="J33" s="407"/>
      <c r="K33" s="407"/>
      <c r="L33" s="407"/>
      <c r="M33" s="407"/>
      <c r="P33" s="539"/>
    </row>
    <row r="34" spans="1:16" s="396" customFormat="1" ht="15.75" x14ac:dyDescent="0.25">
      <c r="A34" s="539"/>
      <c r="B34" s="532" t="s">
        <v>33</v>
      </c>
      <c r="C34" s="533">
        <f>Rainwater!$B31</f>
        <v>3.55</v>
      </c>
      <c r="D34" s="1540">
        <v>30</v>
      </c>
      <c r="E34" s="534">
        <f>Rainwater!$J31</f>
        <v>0</v>
      </c>
      <c r="F34" s="535">
        <f t="shared" si="0"/>
        <v>0</v>
      </c>
      <c r="G34" s="511"/>
      <c r="H34" s="538">
        <f t="shared" si="1"/>
        <v>0</v>
      </c>
      <c r="I34" s="537">
        <f t="shared" si="2"/>
        <v>0</v>
      </c>
      <c r="J34" s="407"/>
      <c r="K34" s="407"/>
      <c r="L34" s="407"/>
      <c r="M34" s="407"/>
      <c r="P34" s="539"/>
    </row>
    <row r="35" spans="1:16" s="396" customFormat="1" ht="15.75" x14ac:dyDescent="0.25">
      <c r="A35" s="539"/>
      <c r="B35" s="532" t="s">
        <v>8</v>
      </c>
      <c r="C35" s="533">
        <f>Rainwater!$B32</f>
        <v>3.3000000000000003</v>
      </c>
      <c r="D35" s="1540">
        <v>31</v>
      </c>
      <c r="E35" s="534">
        <f>Rainwater!$J32</f>
        <v>0</v>
      </c>
      <c r="F35" s="535">
        <f t="shared" si="0"/>
        <v>0</v>
      </c>
      <c r="G35" s="511"/>
      <c r="H35" s="538">
        <f t="shared" si="1"/>
        <v>0</v>
      </c>
      <c r="I35" s="537">
        <f t="shared" si="2"/>
        <v>0</v>
      </c>
      <c r="J35" s="407"/>
      <c r="K35" s="407"/>
      <c r="L35" s="407"/>
      <c r="M35" s="407"/>
      <c r="P35" s="539"/>
    </row>
    <row r="36" spans="1:16" s="396" customFormat="1" ht="15.75" x14ac:dyDescent="0.25">
      <c r="A36" s="539"/>
      <c r="B36" s="532" t="s">
        <v>9</v>
      </c>
      <c r="C36" s="533">
        <f>Rainwater!$B33</f>
        <v>3.21</v>
      </c>
      <c r="D36" s="1540">
        <v>31</v>
      </c>
      <c r="E36" s="534">
        <f>Rainwater!$J33</f>
        <v>0</v>
      </c>
      <c r="F36" s="535">
        <f t="shared" si="0"/>
        <v>0</v>
      </c>
      <c r="G36" s="511"/>
      <c r="H36" s="538">
        <f t="shared" si="1"/>
        <v>0</v>
      </c>
      <c r="I36" s="537">
        <f t="shared" si="2"/>
        <v>0</v>
      </c>
      <c r="J36" s="407"/>
      <c r="K36" s="407"/>
      <c r="L36" s="407"/>
      <c r="M36" s="407"/>
      <c r="P36" s="539"/>
    </row>
    <row r="37" spans="1:16" s="396" customFormat="1" ht="15.75" x14ac:dyDescent="0.25">
      <c r="A37" s="539"/>
      <c r="B37" s="532" t="s">
        <v>0</v>
      </c>
      <c r="C37" s="533">
        <f>Rainwater!$B22</f>
        <v>6.74</v>
      </c>
      <c r="D37" s="1540">
        <v>30</v>
      </c>
      <c r="E37" s="534">
        <f>Rainwater!$J22</f>
        <v>0</v>
      </c>
      <c r="F37" s="535">
        <f t="shared" si="0"/>
        <v>0</v>
      </c>
      <c r="G37" s="511"/>
      <c r="H37" s="538">
        <f t="shared" si="1"/>
        <v>0</v>
      </c>
      <c r="I37" s="537">
        <f t="shared" si="2"/>
        <v>0</v>
      </c>
      <c r="J37" s="407"/>
      <c r="K37" s="407"/>
      <c r="L37" s="407"/>
      <c r="M37" s="407"/>
      <c r="P37" s="539"/>
    </row>
    <row r="38" spans="1:16" s="396" customFormat="1" ht="15.75" x14ac:dyDescent="0.25">
      <c r="A38" s="539"/>
      <c r="B38" s="532" t="s">
        <v>2</v>
      </c>
      <c r="C38" s="533">
        <f>Rainwater!$B23</f>
        <v>3.52</v>
      </c>
      <c r="D38" s="1540">
        <v>31</v>
      </c>
      <c r="E38" s="534">
        <f>Rainwater!$J23</f>
        <v>0</v>
      </c>
      <c r="F38" s="535">
        <f t="shared" si="0"/>
        <v>0</v>
      </c>
      <c r="G38" s="511"/>
      <c r="H38" s="538">
        <f t="shared" si="1"/>
        <v>0</v>
      </c>
      <c r="I38" s="537">
        <f t="shared" si="2"/>
        <v>0</v>
      </c>
      <c r="J38" s="407"/>
      <c r="K38" s="407"/>
      <c r="L38" s="407"/>
      <c r="M38" s="407"/>
      <c r="P38" s="539"/>
    </row>
    <row r="39" spans="1:16" s="396" customFormat="1" ht="15.75" x14ac:dyDescent="0.25">
      <c r="A39" s="539"/>
      <c r="B39" s="532" t="s">
        <v>3</v>
      </c>
      <c r="C39" s="533">
        <f>Rainwater!$B24</f>
        <v>3.3400000000000003</v>
      </c>
      <c r="D39" s="1540">
        <v>30</v>
      </c>
      <c r="E39" s="534">
        <f>Rainwater!$J24</f>
        <v>0</v>
      </c>
      <c r="F39" s="535">
        <f t="shared" si="0"/>
        <v>0</v>
      </c>
      <c r="G39" s="511"/>
      <c r="H39" s="538">
        <f t="shared" si="1"/>
        <v>0</v>
      </c>
      <c r="I39" s="537">
        <f t="shared" si="2"/>
        <v>0</v>
      </c>
      <c r="J39" s="407"/>
      <c r="K39" s="407"/>
      <c r="L39" s="407"/>
      <c r="M39" s="407"/>
      <c r="P39" s="539"/>
    </row>
    <row r="40" spans="1:16" s="396" customFormat="1" ht="16.5" thickBot="1" x14ac:dyDescent="0.3">
      <c r="A40" s="539"/>
      <c r="B40" s="540" t="s">
        <v>4</v>
      </c>
      <c r="C40" s="541">
        <f>Rainwater!$B25</f>
        <v>5.969999999999998</v>
      </c>
      <c r="D40" s="1541">
        <v>31</v>
      </c>
      <c r="E40" s="556">
        <f>Rainwater!$J25</f>
        <v>0</v>
      </c>
      <c r="F40" s="542">
        <f t="shared" si="0"/>
        <v>0</v>
      </c>
      <c r="G40" s="512"/>
      <c r="H40" s="543">
        <f t="shared" si="1"/>
        <v>0</v>
      </c>
      <c r="I40" s="544">
        <f t="shared" si="2"/>
        <v>0</v>
      </c>
      <c r="J40" s="407"/>
      <c r="K40" s="407"/>
      <c r="L40" s="407"/>
      <c r="M40" s="407"/>
      <c r="P40" s="539"/>
    </row>
    <row r="41" spans="1:16" s="396" customFormat="1" ht="17.25" thickTop="1" thickBot="1" x14ac:dyDescent="0.3">
      <c r="A41" s="539"/>
      <c r="B41" s="545" t="s">
        <v>20</v>
      </c>
      <c r="C41" s="716">
        <f>SUM(C29:C40)</f>
        <v>46.260000000000012</v>
      </c>
      <c r="D41" s="1542">
        <f>SUM(D29:D40)</f>
        <v>365</v>
      </c>
      <c r="E41" s="717">
        <f>SUM(E29:E40)</f>
        <v>0</v>
      </c>
      <c r="F41" s="714"/>
      <c r="G41" s="546">
        <f>SUM(G29:G40)</f>
        <v>0</v>
      </c>
      <c r="H41" s="546">
        <f>SUM(H29:H40)</f>
        <v>0</v>
      </c>
      <c r="I41" s="547">
        <f>SUM(I29:I40)</f>
        <v>0</v>
      </c>
      <c r="J41" s="407"/>
      <c r="K41" s="407"/>
      <c r="L41" s="407"/>
      <c r="M41" s="407"/>
      <c r="P41" s="539"/>
    </row>
    <row r="42" spans="1:16" s="396" customFormat="1" ht="15" x14ac:dyDescent="0.25">
      <c r="A42" s="539"/>
      <c r="B42" s="548" t="s">
        <v>686</v>
      </c>
      <c r="C42" s="549"/>
      <c r="D42" s="550"/>
      <c r="E42" s="551"/>
      <c r="F42" s="551"/>
      <c r="G42" s="551"/>
      <c r="H42" s="539"/>
      <c r="I42" s="539"/>
      <c r="J42" s="539"/>
      <c r="K42" s="551"/>
      <c r="N42" s="539"/>
      <c r="O42" s="552"/>
      <c r="P42" s="539"/>
    </row>
    <row r="43" spans="1:16" s="396" customFormat="1" ht="15" x14ac:dyDescent="0.25">
      <c r="A43" s="539"/>
      <c r="B43" s="548" t="s">
        <v>732</v>
      </c>
      <c r="C43" s="549"/>
      <c r="D43" s="550"/>
      <c r="E43" s="551"/>
      <c r="F43" s="551"/>
      <c r="G43" s="551"/>
      <c r="H43" s="539"/>
      <c r="I43" s="539"/>
      <c r="J43" s="539"/>
      <c r="K43" s="551"/>
      <c r="N43" s="539"/>
      <c r="O43" s="552"/>
      <c r="P43" s="539"/>
    </row>
    <row r="44" spans="1:16" s="396" customFormat="1" ht="15.75" thickBot="1" x14ac:dyDescent="0.3">
      <c r="A44" s="539"/>
      <c r="B44" s="548"/>
      <c r="C44" s="549"/>
      <c r="D44" s="550"/>
      <c r="E44" s="551"/>
      <c r="F44" s="551"/>
      <c r="G44" s="551"/>
      <c r="H44" s="539"/>
      <c r="I44" s="539"/>
      <c r="J44" s="539"/>
      <c r="K44" s="551"/>
      <c r="N44" s="539"/>
      <c r="O44" s="552"/>
      <c r="P44" s="539"/>
    </row>
    <row r="45" spans="1:16" s="258" customFormat="1" ht="15" x14ac:dyDescent="0.25">
      <c r="B45" s="1092" t="s">
        <v>642</v>
      </c>
      <c r="C45" s="553">
        <f>H41</f>
        <v>0</v>
      </c>
      <c r="D45" s="258" t="s">
        <v>124</v>
      </c>
      <c r="N45" s="471"/>
      <c r="O45" s="554"/>
      <c r="P45" s="471"/>
    </row>
    <row r="46" spans="1:16" s="258" customFormat="1" ht="15.75" thickBot="1" x14ac:dyDescent="0.3">
      <c r="B46" s="1093" t="s">
        <v>643</v>
      </c>
      <c r="C46" s="555">
        <f>I41</f>
        <v>0</v>
      </c>
      <c r="D46" s="258" t="s">
        <v>124</v>
      </c>
      <c r="N46" s="471"/>
      <c r="O46" s="554"/>
      <c r="P46" s="471"/>
    </row>
    <row r="47" spans="1:16" s="258" customFormat="1" ht="19.5" customHeight="1" x14ac:dyDescent="0.25">
      <c r="E47" s="657"/>
      <c r="N47" s="471"/>
      <c r="O47" s="554"/>
      <c r="P47" s="471"/>
    </row>
    <row r="48" spans="1:16" s="972" customFormat="1" ht="18.75" x14ac:dyDescent="0.3">
      <c r="B48" s="1752" t="s">
        <v>178</v>
      </c>
      <c r="C48" s="1752"/>
      <c r="D48" s="1752"/>
      <c r="E48" s="1752"/>
      <c r="F48" s="1752"/>
      <c r="G48" s="1752"/>
      <c r="H48" s="971"/>
      <c r="I48" s="971"/>
      <c r="J48" s="971"/>
      <c r="K48" s="971"/>
      <c r="L48" s="971"/>
    </row>
  </sheetData>
  <sheetProtection algorithmName="SHA-512" hashValue="+jR5Ag9y/Docr/N4Z3lMGNtqVRs73KjDzM1cYY9ZQ5BvE/Ax2kAhA115wfEa3mMEk0BLlB6rjxh4nxDDZ1/l0A==" saltValue="DoIgS4DEn2Ep6gOPXK3Q0g==" spinCount="100000" sheet="1" objects="1" scenarios="1" selectLockedCells="1"/>
  <customSheetViews>
    <customSheetView guid="{27ECCA9D-8222-4026-A3C8-C768CAE028E0}" scale="80" fitToPage="1" hiddenRows="1">
      <selection activeCell="J32" sqref="J32"/>
      <pageMargins left="0.25" right="0.25" top="0.75" bottom="0.75" header="0.3" footer="0.3"/>
      <pageSetup scale="39" orientation="portrait" r:id="rId1"/>
      <headerFooter alignWithMargins="0">
        <oddFooter>&amp;LApril 2014&amp;C&amp;A&amp;RPage &amp;P of &amp;N</oddFooter>
      </headerFooter>
    </customSheetView>
    <customSheetView guid="{D635BEAF-4410-44C3-8109-399BEE34BBD8}" scale="80" fitToPage="1" hiddenRows="1">
      <selection activeCell="I84" sqref="I84"/>
      <pageMargins left="0.25" right="0.25" top="0.75" bottom="0.75" header="0.3" footer="0.3"/>
      <pageSetup scale="39" orientation="portrait" r:id="rId2"/>
      <headerFooter alignWithMargins="0">
        <oddFooter>&amp;LApril 2014&amp;C&amp;A&amp;RPage &amp;P of &amp;N</oddFooter>
      </headerFooter>
    </customSheetView>
  </customSheetViews>
  <mergeCells count="6">
    <mergeCell ref="B48:G48"/>
    <mergeCell ref="B8:D9"/>
    <mergeCell ref="B10:G10"/>
    <mergeCell ref="C27:D27"/>
    <mergeCell ref="E26:G26"/>
    <mergeCell ref="B26:D26"/>
  </mergeCells>
  <dataValidations count="1">
    <dataValidation type="whole" operator="lessThanOrEqual" showInputMessage="1" showErrorMessage="1" errorTitle="Invalid Cistern Size" error="Cistern Size must be entered in Tab 7 - Project Definition in order to calculatre Rainwater Supply " sqref="E41">
      <formula1>0</formula1>
    </dataValidation>
  </dataValidations>
  <pageMargins left="0.25" right="0.25" top="0.75" bottom="0.75" header="0.3" footer="0.3"/>
  <pageSetup scale="39" orientation="portrait" r:id="rId3"/>
  <headerFooter alignWithMargins="0">
    <oddFooter>&amp;LApril 2014&amp;C&amp;A&amp;RPage &amp;P of &amp;N</oddFooter>
  </headerFooter>
  <drawing r:id="rId4"/>
  <legacyDrawing r:id="rId5"/>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A1:AM80"/>
  <sheetViews>
    <sheetView topLeftCell="A45" zoomScale="40" zoomScaleNormal="40" zoomScaleSheetLayoutView="70" workbookViewId="0">
      <selection activeCell="A79" sqref="A1:XFD79"/>
    </sheetView>
  </sheetViews>
  <sheetFormatPr defaultRowHeight="12.75" x14ac:dyDescent="0.2"/>
  <cols>
    <col min="1" max="1" width="2.7109375" style="29" customWidth="1"/>
    <col min="2" max="2" width="54.7109375" style="29" customWidth="1"/>
    <col min="3" max="3" width="21.7109375" style="29" bestFit="1" customWidth="1"/>
    <col min="4" max="4" width="26.85546875" style="29" bestFit="1" customWidth="1"/>
    <col min="5" max="5" width="20.7109375" style="29" bestFit="1" customWidth="1"/>
    <col min="6" max="6" width="16.7109375" style="29" customWidth="1"/>
    <col min="7" max="11" width="14.7109375" style="29" customWidth="1"/>
    <col min="12" max="12" width="23.5703125" style="29" bestFit="1" customWidth="1"/>
    <col min="13" max="13" width="15" style="29" bestFit="1" customWidth="1"/>
    <col min="14" max="15" width="14.7109375" style="29" bestFit="1" customWidth="1"/>
    <col min="16" max="16" width="15" style="29" bestFit="1" customWidth="1"/>
    <col min="17" max="17" width="12.7109375" style="29" customWidth="1"/>
    <col min="18" max="18" width="13.85546875" style="29" bestFit="1" customWidth="1"/>
    <col min="19" max="19" width="13.7109375" style="29" bestFit="1" customWidth="1"/>
    <col min="20" max="23" width="12.7109375" style="29" customWidth="1"/>
    <col min="24" max="24" width="12.7109375" style="45" customWidth="1"/>
    <col min="25" max="25" width="8.7109375" style="29" customWidth="1"/>
    <col min="26" max="36" width="9.140625" style="29"/>
    <col min="37" max="38" width="0" style="29" hidden="1" customWidth="1"/>
    <col min="39" max="16384" width="9.140625" style="29"/>
  </cols>
  <sheetData>
    <row r="1" spans="1:39" s="890" customFormat="1" ht="26.25" x14ac:dyDescent="0.4">
      <c r="A1" s="935" t="s">
        <v>37</v>
      </c>
      <c r="B1" s="889"/>
      <c r="O1" s="946"/>
      <c r="P1" s="946"/>
      <c r="Q1" s="946"/>
      <c r="R1" s="1543"/>
      <c r="S1" s="1543"/>
      <c r="T1" s="946"/>
      <c r="U1" s="946"/>
      <c r="V1" s="946"/>
      <c r="W1" s="946"/>
      <c r="X1" s="1543"/>
    </row>
    <row r="2" spans="1:39" s="909" customFormat="1" ht="23.25" x14ac:dyDescent="0.35">
      <c r="A2" s="898" t="s">
        <v>273</v>
      </c>
      <c r="B2" s="908"/>
      <c r="O2" s="903"/>
      <c r="P2" s="903"/>
      <c r="Q2" s="903"/>
      <c r="R2" s="902"/>
      <c r="S2" s="902"/>
      <c r="T2" s="903"/>
      <c r="U2" s="903"/>
      <c r="V2" s="903"/>
      <c r="W2" s="903"/>
      <c r="X2" s="902"/>
    </row>
    <row r="3" spans="1:39" s="258" customFormat="1" ht="15" x14ac:dyDescent="0.25">
      <c r="B3" s="259"/>
      <c r="R3" s="259"/>
      <c r="S3" s="259"/>
      <c r="X3" s="259"/>
    </row>
    <row r="4" spans="1:39" s="258" customFormat="1" ht="15" x14ac:dyDescent="0.25">
      <c r="B4" s="911" t="s">
        <v>39</v>
      </c>
      <c r="L4" s="261" t="s">
        <v>38</v>
      </c>
      <c r="M4" s="259"/>
      <c r="R4" s="259"/>
      <c r="S4" s="259"/>
      <c r="X4" s="259"/>
    </row>
    <row r="5" spans="1:39" s="258" customFormat="1" ht="15" x14ac:dyDescent="0.25">
      <c r="B5" s="1095" t="str">
        <f>'1. Building Information'!$C$14</f>
        <v>Project Name</v>
      </c>
      <c r="L5" s="262" t="s">
        <v>160</v>
      </c>
      <c r="M5" s="263"/>
      <c r="N5" s="264"/>
      <c r="R5" s="259"/>
      <c r="S5" s="259"/>
      <c r="X5" s="259"/>
      <c r="AK5" s="265" t="s">
        <v>456</v>
      </c>
      <c r="AL5" s="265"/>
    </row>
    <row r="6" spans="1:39" s="258" customFormat="1" ht="15" x14ac:dyDescent="0.25">
      <c r="B6" s="266"/>
      <c r="L6" s="268" t="s">
        <v>89</v>
      </c>
      <c r="M6" s="269"/>
      <c r="N6" s="270"/>
      <c r="R6" s="259"/>
      <c r="S6" s="259"/>
      <c r="X6" s="259"/>
      <c r="AK6" s="271" t="s">
        <v>73</v>
      </c>
      <c r="AL6" s="272"/>
    </row>
    <row r="7" spans="1:39" s="273" customFormat="1" ht="15" x14ac:dyDescent="0.25">
      <c r="B7" s="260" t="s">
        <v>56</v>
      </c>
      <c r="C7" s="247"/>
      <c r="L7" s="513" t="s">
        <v>86</v>
      </c>
      <c r="M7" s="514"/>
      <c r="N7" s="515"/>
      <c r="R7" s="275"/>
      <c r="S7" s="275"/>
      <c r="X7" s="275"/>
      <c r="AK7" s="271" t="s">
        <v>72</v>
      </c>
      <c r="AL7" s="272"/>
    </row>
    <row r="8" spans="1:39" s="258" customFormat="1" ht="15" customHeight="1" x14ac:dyDescent="0.25">
      <c r="B8" s="885" t="s">
        <v>898</v>
      </c>
      <c r="C8" s="279"/>
      <c r="D8" s="279"/>
      <c r="E8" s="1250"/>
      <c r="F8" s="1250"/>
      <c r="G8" s="1250"/>
      <c r="H8" s="1250"/>
      <c r="I8" s="1250"/>
      <c r="J8" s="1250"/>
      <c r="K8" s="1250"/>
      <c r="L8" s="268" t="s">
        <v>87</v>
      </c>
      <c r="M8" s="516"/>
      <c r="N8" s="438"/>
      <c r="R8" s="259"/>
      <c r="S8" s="247"/>
      <c r="T8" s="247"/>
      <c r="X8" s="259"/>
      <c r="AL8" s="271" t="s">
        <v>72</v>
      </c>
      <c r="AM8" s="272"/>
    </row>
    <row r="9" spans="1:39" s="258" customFormat="1" ht="15" x14ac:dyDescent="0.25">
      <c r="B9" s="279"/>
      <c r="C9" s="279"/>
      <c r="D9" s="279"/>
      <c r="E9" s="1250"/>
      <c r="F9" s="1250"/>
      <c r="G9" s="1250"/>
      <c r="H9" s="1250"/>
      <c r="I9" s="1250"/>
      <c r="J9" s="1250"/>
      <c r="K9" s="1250"/>
      <c r="L9" s="267"/>
      <c r="M9" s="254"/>
      <c r="N9" s="244"/>
      <c r="S9" s="247"/>
      <c r="X9" s="259"/>
    </row>
    <row r="10" spans="1:39" s="258" customFormat="1" ht="15" x14ac:dyDescent="0.25">
      <c r="B10" s="1250"/>
      <c r="C10" s="1250"/>
      <c r="D10" s="1250"/>
      <c r="E10" s="1250"/>
      <c r="F10" s="1250"/>
      <c r="G10" s="1250"/>
      <c r="H10" s="1250"/>
      <c r="I10" s="1250"/>
      <c r="J10" s="1250"/>
      <c r="K10" s="1250"/>
      <c r="L10" s="267"/>
      <c r="M10" s="254"/>
      <c r="N10" s="244"/>
      <c r="S10" s="247"/>
      <c r="X10" s="259"/>
    </row>
    <row r="11" spans="1:39" s="936" customFormat="1" ht="15.75" x14ac:dyDescent="0.25">
      <c r="B11" s="1096" t="s">
        <v>274</v>
      </c>
      <c r="C11" s="959"/>
      <c r="D11" s="959"/>
      <c r="E11" s="959"/>
      <c r="F11" s="959"/>
      <c r="G11" s="959"/>
      <c r="H11" s="959"/>
      <c r="I11" s="959"/>
      <c r="J11" s="959"/>
      <c r="K11" s="959"/>
      <c r="L11" s="959"/>
      <c r="S11" s="959"/>
      <c r="X11" s="920"/>
    </row>
    <row r="12" spans="1:39" s="258" customFormat="1" ht="15.75" thickBot="1" x14ac:dyDescent="0.3">
      <c r="D12" s="657"/>
      <c r="E12" s="657"/>
      <c r="F12" s="657"/>
      <c r="G12" s="657"/>
      <c r="H12" s="657"/>
      <c r="I12" s="657"/>
      <c r="J12" s="657"/>
      <c r="K12" s="657"/>
      <c r="X12" s="259"/>
    </row>
    <row r="13" spans="1:39" s="258" customFormat="1" ht="30.75" customHeight="1" thickBot="1" x14ac:dyDescent="0.3">
      <c r="E13" s="1544" t="str">
        <f>'1. Building Information'!$B$53</f>
        <v>SITE: Project Name -- Project Address</v>
      </c>
      <c r="F13" s="938"/>
      <c r="H13" s="1545" t="s">
        <v>234</v>
      </c>
      <c r="I13" s="1546"/>
      <c r="J13" s="1546"/>
      <c r="K13" s="1546"/>
      <c r="L13" s="1546"/>
      <c r="M13" s="1546"/>
      <c r="N13" s="1546"/>
      <c r="O13" s="1546"/>
      <c r="P13" s="1546"/>
      <c r="Q13" s="1546"/>
      <c r="R13" s="1546"/>
      <c r="S13" s="1547"/>
      <c r="X13" s="259"/>
    </row>
    <row r="14" spans="1:39" s="1548" customFormat="1" ht="45" x14ac:dyDescent="0.2">
      <c r="B14" s="1256" t="s">
        <v>209</v>
      </c>
      <c r="C14" s="1549" t="s">
        <v>211</v>
      </c>
      <c r="D14" s="1550" t="s">
        <v>457</v>
      </c>
      <c r="E14" s="1551" t="s">
        <v>456</v>
      </c>
      <c r="F14" s="1552" t="s">
        <v>441</v>
      </c>
      <c r="G14" s="1553" t="s">
        <v>253</v>
      </c>
      <c r="H14" s="1206" t="s">
        <v>28</v>
      </c>
      <c r="I14" s="1554" t="s">
        <v>29</v>
      </c>
      <c r="J14" s="1549" t="s">
        <v>30</v>
      </c>
      <c r="K14" s="1554" t="s">
        <v>31</v>
      </c>
      <c r="L14" s="1549" t="s">
        <v>32</v>
      </c>
      <c r="M14" s="1554" t="s">
        <v>33</v>
      </c>
      <c r="N14" s="1549" t="s">
        <v>8</v>
      </c>
      <c r="O14" s="1554" t="s">
        <v>9</v>
      </c>
      <c r="P14" s="1549" t="s">
        <v>0</v>
      </c>
      <c r="Q14" s="1554" t="s">
        <v>2</v>
      </c>
      <c r="R14" s="1549" t="s">
        <v>3</v>
      </c>
      <c r="S14" s="1550" t="s">
        <v>4</v>
      </c>
    </row>
    <row r="15" spans="1:39" s="273" customFormat="1" ht="15" x14ac:dyDescent="0.25">
      <c r="B15" s="1555" t="s">
        <v>238</v>
      </c>
      <c r="C15" s="1556"/>
      <c r="D15" s="1557"/>
      <c r="E15" s="1558"/>
      <c r="F15" s="1559"/>
      <c r="G15" s="1560"/>
      <c r="H15" s="1558"/>
      <c r="I15" s="1561"/>
      <c r="J15" s="1562"/>
      <c r="K15" s="1561"/>
      <c r="L15" s="1562"/>
      <c r="M15" s="1561"/>
      <c r="N15" s="1562"/>
      <c r="O15" s="1561"/>
      <c r="P15" s="1562"/>
      <c r="Q15" s="1561"/>
      <c r="R15" s="1562"/>
      <c r="S15" s="1559"/>
    </row>
    <row r="16" spans="1:39" s="273" customFormat="1" ht="15" x14ac:dyDescent="0.25">
      <c r="B16" s="1563" t="s">
        <v>75</v>
      </c>
      <c r="C16" s="1564">
        <f>'2. Indoor Water Demand'!K20</f>
        <v>0</v>
      </c>
      <c r="D16" s="1565">
        <f>'2. Indoor Water Demand'!L20</f>
        <v>0</v>
      </c>
      <c r="E16" s="1566" t="s">
        <v>73</v>
      </c>
      <c r="F16" s="1565">
        <f>IF(E16="Yes",'2. Indoor Water Demand'!F136,0)</f>
        <v>0</v>
      </c>
      <c r="G16" s="1567">
        <f t="shared" ref="G16:G21" si="0">SUM(F16)</f>
        <v>0</v>
      </c>
      <c r="H16" s="534">
        <f t="shared" ref="H16:S21" si="1">$G16/12</f>
        <v>0</v>
      </c>
      <c r="I16" s="1568">
        <f t="shared" si="1"/>
        <v>0</v>
      </c>
      <c r="J16" s="538">
        <f t="shared" si="1"/>
        <v>0</v>
      </c>
      <c r="K16" s="1568">
        <f t="shared" si="1"/>
        <v>0</v>
      </c>
      <c r="L16" s="538">
        <f t="shared" si="1"/>
        <v>0</v>
      </c>
      <c r="M16" s="1568">
        <f t="shared" si="1"/>
        <v>0</v>
      </c>
      <c r="N16" s="538">
        <f t="shared" si="1"/>
        <v>0</v>
      </c>
      <c r="O16" s="1568">
        <f t="shared" si="1"/>
        <v>0</v>
      </c>
      <c r="P16" s="538">
        <f t="shared" si="1"/>
        <v>0</v>
      </c>
      <c r="Q16" s="1568">
        <f t="shared" si="1"/>
        <v>0</v>
      </c>
      <c r="R16" s="538">
        <f t="shared" si="1"/>
        <v>0</v>
      </c>
      <c r="S16" s="1569">
        <f t="shared" si="1"/>
        <v>0</v>
      </c>
    </row>
    <row r="17" spans="2:24" s="273" customFormat="1" ht="15" x14ac:dyDescent="0.25">
      <c r="B17" s="1563" t="s">
        <v>82</v>
      </c>
      <c r="C17" s="1564">
        <f>'2. Indoor Water Demand'!K21</f>
        <v>0</v>
      </c>
      <c r="D17" s="1565">
        <f>'2. Indoor Water Demand'!L21</f>
        <v>0</v>
      </c>
      <c r="E17" s="1566" t="s">
        <v>73</v>
      </c>
      <c r="F17" s="1565">
        <f>IF(E17="Yes",'2. Indoor Water Demand'!F137,0)</f>
        <v>0</v>
      </c>
      <c r="G17" s="1567">
        <f t="shared" si="0"/>
        <v>0</v>
      </c>
      <c r="H17" s="534">
        <f t="shared" si="1"/>
        <v>0</v>
      </c>
      <c r="I17" s="1568">
        <f t="shared" si="1"/>
        <v>0</v>
      </c>
      <c r="J17" s="538">
        <f t="shared" si="1"/>
        <v>0</v>
      </c>
      <c r="K17" s="1568">
        <f t="shared" si="1"/>
        <v>0</v>
      </c>
      <c r="L17" s="538">
        <f t="shared" si="1"/>
        <v>0</v>
      </c>
      <c r="M17" s="1568">
        <f t="shared" si="1"/>
        <v>0</v>
      </c>
      <c r="N17" s="538">
        <f t="shared" si="1"/>
        <v>0</v>
      </c>
      <c r="O17" s="1568">
        <f t="shared" si="1"/>
        <v>0</v>
      </c>
      <c r="P17" s="538">
        <f t="shared" si="1"/>
        <v>0</v>
      </c>
      <c r="Q17" s="1568">
        <f t="shared" si="1"/>
        <v>0</v>
      </c>
      <c r="R17" s="538">
        <f t="shared" si="1"/>
        <v>0</v>
      </c>
      <c r="S17" s="1569">
        <f t="shared" si="1"/>
        <v>0</v>
      </c>
    </row>
    <row r="18" spans="2:24" s="1570" customFormat="1" ht="15" x14ac:dyDescent="0.25">
      <c r="B18" s="1563" t="s">
        <v>146</v>
      </c>
      <c r="C18" s="1564">
        <f>'2. Indoor Water Demand'!K22</f>
        <v>0</v>
      </c>
      <c r="D18" s="1565">
        <f>'2. Indoor Water Demand'!L22</f>
        <v>0</v>
      </c>
      <c r="E18" s="1566" t="s">
        <v>72</v>
      </c>
      <c r="F18" s="1565">
        <f>IF(E18="Yes",'2. Indoor Water Demand'!F138,0)</f>
        <v>0</v>
      </c>
      <c r="G18" s="1567">
        <f t="shared" si="0"/>
        <v>0</v>
      </c>
      <c r="H18" s="534">
        <f t="shared" si="1"/>
        <v>0</v>
      </c>
      <c r="I18" s="1568">
        <f t="shared" si="1"/>
        <v>0</v>
      </c>
      <c r="J18" s="538">
        <f t="shared" si="1"/>
        <v>0</v>
      </c>
      <c r="K18" s="1568">
        <f t="shared" si="1"/>
        <v>0</v>
      </c>
      <c r="L18" s="538">
        <f t="shared" si="1"/>
        <v>0</v>
      </c>
      <c r="M18" s="1568">
        <f t="shared" si="1"/>
        <v>0</v>
      </c>
      <c r="N18" s="538">
        <f t="shared" si="1"/>
        <v>0</v>
      </c>
      <c r="O18" s="1568">
        <f t="shared" si="1"/>
        <v>0</v>
      </c>
      <c r="P18" s="538">
        <f t="shared" si="1"/>
        <v>0</v>
      </c>
      <c r="Q18" s="1568">
        <f t="shared" si="1"/>
        <v>0</v>
      </c>
      <c r="R18" s="538">
        <f t="shared" si="1"/>
        <v>0</v>
      </c>
      <c r="S18" s="1569">
        <f t="shared" si="1"/>
        <v>0</v>
      </c>
    </row>
    <row r="19" spans="2:24" s="1570" customFormat="1" ht="15" x14ac:dyDescent="0.25">
      <c r="B19" s="1563" t="s">
        <v>78</v>
      </c>
      <c r="C19" s="1564">
        <f>'2. Indoor Water Demand'!K23</f>
        <v>0</v>
      </c>
      <c r="D19" s="1565">
        <f>'2. Indoor Water Demand'!L23</f>
        <v>0</v>
      </c>
      <c r="E19" s="1566" t="s">
        <v>72</v>
      </c>
      <c r="F19" s="1565">
        <f>IF(E19="Yes",'2. Indoor Water Demand'!F139,0)</f>
        <v>0</v>
      </c>
      <c r="G19" s="1567">
        <f t="shared" si="0"/>
        <v>0</v>
      </c>
      <c r="H19" s="534">
        <f t="shared" si="1"/>
        <v>0</v>
      </c>
      <c r="I19" s="1568">
        <f t="shared" si="1"/>
        <v>0</v>
      </c>
      <c r="J19" s="538">
        <f t="shared" si="1"/>
        <v>0</v>
      </c>
      <c r="K19" s="1568">
        <f t="shared" si="1"/>
        <v>0</v>
      </c>
      <c r="L19" s="538">
        <f t="shared" si="1"/>
        <v>0</v>
      </c>
      <c r="M19" s="1568">
        <f t="shared" si="1"/>
        <v>0</v>
      </c>
      <c r="N19" s="538">
        <f t="shared" si="1"/>
        <v>0</v>
      </c>
      <c r="O19" s="1568">
        <f t="shared" si="1"/>
        <v>0</v>
      </c>
      <c r="P19" s="538">
        <f t="shared" si="1"/>
        <v>0</v>
      </c>
      <c r="Q19" s="1568">
        <f t="shared" si="1"/>
        <v>0</v>
      </c>
      <c r="R19" s="538">
        <f t="shared" si="1"/>
        <v>0</v>
      </c>
      <c r="S19" s="1569">
        <f t="shared" si="1"/>
        <v>0</v>
      </c>
    </row>
    <row r="20" spans="2:24" s="273" customFormat="1" ht="15" x14ac:dyDescent="0.25">
      <c r="B20" s="1563" t="s">
        <v>79</v>
      </c>
      <c r="C20" s="1564">
        <f>'2. Indoor Water Demand'!K24</f>
        <v>0</v>
      </c>
      <c r="D20" s="1565">
        <f>'2. Indoor Water Demand'!L24</f>
        <v>0</v>
      </c>
      <c r="E20" s="1566" t="s">
        <v>73</v>
      </c>
      <c r="F20" s="1565">
        <f>IF(E20="Yes",'2. Indoor Water Demand'!F140,0)</f>
        <v>0</v>
      </c>
      <c r="G20" s="1567">
        <f t="shared" si="0"/>
        <v>0</v>
      </c>
      <c r="H20" s="534">
        <f t="shared" si="1"/>
        <v>0</v>
      </c>
      <c r="I20" s="1568">
        <f t="shared" si="1"/>
        <v>0</v>
      </c>
      <c r="J20" s="538">
        <f t="shared" si="1"/>
        <v>0</v>
      </c>
      <c r="K20" s="1568">
        <f t="shared" si="1"/>
        <v>0</v>
      </c>
      <c r="L20" s="538">
        <f t="shared" si="1"/>
        <v>0</v>
      </c>
      <c r="M20" s="1568">
        <f t="shared" si="1"/>
        <v>0</v>
      </c>
      <c r="N20" s="538">
        <f t="shared" si="1"/>
        <v>0</v>
      </c>
      <c r="O20" s="1568">
        <f t="shared" si="1"/>
        <v>0</v>
      </c>
      <c r="P20" s="538">
        <f t="shared" si="1"/>
        <v>0</v>
      </c>
      <c r="Q20" s="1568">
        <f t="shared" si="1"/>
        <v>0</v>
      </c>
      <c r="R20" s="538">
        <f t="shared" si="1"/>
        <v>0</v>
      </c>
      <c r="S20" s="1569">
        <f t="shared" si="1"/>
        <v>0</v>
      </c>
      <c r="X20" s="1571"/>
    </row>
    <row r="21" spans="2:24" s="273" customFormat="1" ht="15" x14ac:dyDescent="0.25">
      <c r="B21" s="1563" t="s">
        <v>83</v>
      </c>
      <c r="C21" s="1564">
        <f>'2. Indoor Water Demand'!K25</f>
        <v>0</v>
      </c>
      <c r="D21" s="1565">
        <f>'2. Indoor Water Demand'!L25</f>
        <v>0</v>
      </c>
      <c r="E21" s="1566" t="s">
        <v>73</v>
      </c>
      <c r="F21" s="1565">
        <f>IF(E21="Yes",'2. Indoor Water Demand'!F141,0)</f>
        <v>0</v>
      </c>
      <c r="G21" s="1567">
        <f t="shared" si="0"/>
        <v>0</v>
      </c>
      <c r="H21" s="534">
        <f t="shared" si="1"/>
        <v>0</v>
      </c>
      <c r="I21" s="1568">
        <f t="shared" si="1"/>
        <v>0</v>
      </c>
      <c r="J21" s="538">
        <f t="shared" si="1"/>
        <v>0</v>
      </c>
      <c r="K21" s="1568">
        <f t="shared" si="1"/>
        <v>0</v>
      </c>
      <c r="L21" s="538">
        <f t="shared" si="1"/>
        <v>0</v>
      </c>
      <c r="M21" s="1568">
        <f t="shared" si="1"/>
        <v>0</v>
      </c>
      <c r="N21" s="538">
        <f t="shared" si="1"/>
        <v>0</v>
      </c>
      <c r="O21" s="1568">
        <f t="shared" si="1"/>
        <v>0</v>
      </c>
      <c r="P21" s="538">
        <f t="shared" si="1"/>
        <v>0</v>
      </c>
      <c r="Q21" s="1568">
        <f t="shared" si="1"/>
        <v>0</v>
      </c>
      <c r="R21" s="538">
        <f t="shared" si="1"/>
        <v>0</v>
      </c>
      <c r="S21" s="1569">
        <f t="shared" si="1"/>
        <v>0</v>
      </c>
    </row>
    <row r="22" spans="2:24" s="273" customFormat="1" ht="15" x14ac:dyDescent="0.25">
      <c r="B22" s="1572" t="s">
        <v>235</v>
      </c>
      <c r="C22" s="1573">
        <f>SUM(C16:C21)</f>
        <v>0</v>
      </c>
      <c r="D22" s="1574">
        <f>SUM(D16:D21)</f>
        <v>0</v>
      </c>
      <c r="E22" s="1575"/>
      <c r="F22" s="1574">
        <f>SUM(F16:F21)</f>
        <v>0</v>
      </c>
      <c r="G22" s="1576">
        <f>SUM(G16:G21)</f>
        <v>0</v>
      </c>
      <c r="H22" s="1575">
        <f>SUM(H16:H21)</f>
        <v>0</v>
      </c>
      <c r="I22" s="1577">
        <f t="shared" ref="I22:S22" si="2">SUM(I16:I21)</f>
        <v>0</v>
      </c>
      <c r="J22" s="1573">
        <f t="shared" si="2"/>
        <v>0</v>
      </c>
      <c r="K22" s="1577">
        <f t="shared" si="2"/>
        <v>0</v>
      </c>
      <c r="L22" s="1573">
        <f t="shared" si="2"/>
        <v>0</v>
      </c>
      <c r="M22" s="1577">
        <f t="shared" si="2"/>
        <v>0</v>
      </c>
      <c r="N22" s="1573">
        <f t="shared" si="2"/>
        <v>0</v>
      </c>
      <c r="O22" s="1577">
        <f t="shared" si="2"/>
        <v>0</v>
      </c>
      <c r="P22" s="1573">
        <f t="shared" si="2"/>
        <v>0</v>
      </c>
      <c r="Q22" s="1577">
        <f t="shared" si="2"/>
        <v>0</v>
      </c>
      <c r="R22" s="1573">
        <f t="shared" si="2"/>
        <v>0</v>
      </c>
      <c r="S22" s="1574">
        <f t="shared" si="2"/>
        <v>0</v>
      </c>
    </row>
    <row r="23" spans="2:24" s="273" customFormat="1" ht="15" x14ac:dyDescent="0.25">
      <c r="B23" s="1578" t="s">
        <v>237</v>
      </c>
      <c r="C23" s="1562"/>
      <c r="D23" s="1559"/>
      <c r="E23" s="1558"/>
      <c r="F23" s="1559"/>
      <c r="G23" s="1579"/>
      <c r="H23" s="1558"/>
      <c r="I23" s="1561"/>
      <c r="J23" s="1562"/>
      <c r="K23" s="1561"/>
      <c r="L23" s="1562"/>
      <c r="M23" s="1561"/>
      <c r="N23" s="1562"/>
      <c r="O23" s="1561"/>
      <c r="P23" s="1562"/>
      <c r="Q23" s="1561"/>
      <c r="R23" s="1562"/>
      <c r="S23" s="1559"/>
    </row>
    <row r="24" spans="2:24" s="273" customFormat="1" ht="15" x14ac:dyDescent="0.25">
      <c r="B24" s="1580" t="s">
        <v>75</v>
      </c>
      <c r="C24" s="1564">
        <f>'2. Indoor Water Demand'!E41</f>
        <v>0</v>
      </c>
      <c r="D24" s="1565">
        <f>'2. Indoor Water Demand'!F41</f>
        <v>0</v>
      </c>
      <c r="E24" s="1566" t="s">
        <v>73</v>
      </c>
      <c r="F24" s="1565">
        <f>IF(E24="Yes",'2. Indoor Water Demand'!F146,0)</f>
        <v>0</v>
      </c>
      <c r="G24" s="1567">
        <f t="shared" ref="G24:G30" si="3">SUM(F24)</f>
        <v>0</v>
      </c>
      <c r="H24" s="534">
        <f t="shared" ref="H24:S30" si="4">$G24/12</f>
        <v>0</v>
      </c>
      <c r="I24" s="1568">
        <f t="shared" si="4"/>
        <v>0</v>
      </c>
      <c r="J24" s="538">
        <f t="shared" si="4"/>
        <v>0</v>
      </c>
      <c r="K24" s="1568">
        <f t="shared" si="4"/>
        <v>0</v>
      </c>
      <c r="L24" s="538">
        <f t="shared" si="4"/>
        <v>0</v>
      </c>
      <c r="M24" s="1568">
        <f t="shared" si="4"/>
        <v>0</v>
      </c>
      <c r="N24" s="538">
        <f t="shared" si="4"/>
        <v>0</v>
      </c>
      <c r="O24" s="1568">
        <f t="shared" si="4"/>
        <v>0</v>
      </c>
      <c r="P24" s="538">
        <f t="shared" si="4"/>
        <v>0</v>
      </c>
      <c r="Q24" s="1568">
        <f t="shared" si="4"/>
        <v>0</v>
      </c>
      <c r="R24" s="538">
        <f t="shared" si="4"/>
        <v>0</v>
      </c>
      <c r="S24" s="1569">
        <f t="shared" si="4"/>
        <v>0</v>
      </c>
    </row>
    <row r="25" spans="2:24" s="273" customFormat="1" ht="15" x14ac:dyDescent="0.25">
      <c r="B25" s="1580" t="s">
        <v>76</v>
      </c>
      <c r="C25" s="1564">
        <f>'2. Indoor Water Demand'!E42</f>
        <v>0</v>
      </c>
      <c r="D25" s="1565">
        <f>'2. Indoor Water Demand'!F42</f>
        <v>0</v>
      </c>
      <c r="E25" s="1566" t="s">
        <v>73</v>
      </c>
      <c r="F25" s="1565">
        <f>IF(E25="Yes",'2. Indoor Water Demand'!F147,0)</f>
        <v>0</v>
      </c>
      <c r="G25" s="1567">
        <f t="shared" si="3"/>
        <v>0</v>
      </c>
      <c r="H25" s="534">
        <f t="shared" si="4"/>
        <v>0</v>
      </c>
      <c r="I25" s="1568">
        <f t="shared" si="4"/>
        <v>0</v>
      </c>
      <c r="J25" s="538">
        <f t="shared" si="4"/>
        <v>0</v>
      </c>
      <c r="K25" s="1568">
        <f t="shared" si="4"/>
        <v>0</v>
      </c>
      <c r="L25" s="538">
        <f t="shared" si="4"/>
        <v>0</v>
      </c>
      <c r="M25" s="1568">
        <f t="shared" si="4"/>
        <v>0</v>
      </c>
      <c r="N25" s="538">
        <f t="shared" si="4"/>
        <v>0</v>
      </c>
      <c r="O25" s="1568">
        <f t="shared" si="4"/>
        <v>0</v>
      </c>
      <c r="P25" s="538">
        <f t="shared" si="4"/>
        <v>0</v>
      </c>
      <c r="Q25" s="1568">
        <f t="shared" si="4"/>
        <v>0</v>
      </c>
      <c r="R25" s="538">
        <f t="shared" si="4"/>
        <v>0</v>
      </c>
      <c r="S25" s="1569">
        <f t="shared" si="4"/>
        <v>0</v>
      </c>
    </row>
    <row r="26" spans="2:24" s="273" customFormat="1" ht="15" x14ac:dyDescent="0.25">
      <c r="B26" s="1580" t="s">
        <v>77</v>
      </c>
      <c r="C26" s="1564">
        <f>'2. Indoor Water Demand'!E43</f>
        <v>0</v>
      </c>
      <c r="D26" s="1565">
        <f>'2. Indoor Water Demand'!F43</f>
        <v>0</v>
      </c>
      <c r="E26" s="1566" t="s">
        <v>73</v>
      </c>
      <c r="F26" s="1565">
        <f>IF(E26="Yes",'2. Indoor Water Demand'!F148,0)</f>
        <v>0</v>
      </c>
      <c r="G26" s="1567">
        <f t="shared" si="3"/>
        <v>0</v>
      </c>
      <c r="H26" s="534">
        <f t="shared" si="4"/>
        <v>0</v>
      </c>
      <c r="I26" s="1568">
        <f t="shared" si="4"/>
        <v>0</v>
      </c>
      <c r="J26" s="538">
        <f t="shared" si="4"/>
        <v>0</v>
      </c>
      <c r="K26" s="1568">
        <f t="shared" si="4"/>
        <v>0</v>
      </c>
      <c r="L26" s="538">
        <f t="shared" si="4"/>
        <v>0</v>
      </c>
      <c r="M26" s="1568">
        <f t="shared" si="4"/>
        <v>0</v>
      </c>
      <c r="N26" s="538">
        <f t="shared" si="4"/>
        <v>0</v>
      </c>
      <c r="O26" s="1568">
        <f t="shared" si="4"/>
        <v>0</v>
      </c>
      <c r="P26" s="538">
        <f t="shared" si="4"/>
        <v>0</v>
      </c>
      <c r="Q26" s="1568">
        <f t="shared" si="4"/>
        <v>0</v>
      </c>
      <c r="R26" s="538">
        <f t="shared" si="4"/>
        <v>0</v>
      </c>
      <c r="S26" s="1569">
        <f t="shared" si="4"/>
        <v>0</v>
      </c>
    </row>
    <row r="27" spans="2:24" s="273" customFormat="1" ht="15" x14ac:dyDescent="0.25">
      <c r="B27" s="1580" t="s">
        <v>80</v>
      </c>
      <c r="C27" s="1564">
        <f>'2. Indoor Water Demand'!E44</f>
        <v>0</v>
      </c>
      <c r="D27" s="1565">
        <f>'2. Indoor Water Demand'!F44</f>
        <v>0</v>
      </c>
      <c r="E27" s="1566" t="s">
        <v>72</v>
      </c>
      <c r="F27" s="1565">
        <f>IF(E27="Yes",'2. Indoor Water Demand'!F149,0)</f>
        <v>0</v>
      </c>
      <c r="G27" s="1567">
        <f t="shared" si="3"/>
        <v>0</v>
      </c>
      <c r="H27" s="534">
        <f t="shared" si="4"/>
        <v>0</v>
      </c>
      <c r="I27" s="1568">
        <f t="shared" si="4"/>
        <v>0</v>
      </c>
      <c r="J27" s="538">
        <f t="shared" si="4"/>
        <v>0</v>
      </c>
      <c r="K27" s="1568">
        <f t="shared" si="4"/>
        <v>0</v>
      </c>
      <c r="L27" s="538">
        <f t="shared" si="4"/>
        <v>0</v>
      </c>
      <c r="M27" s="1568">
        <f t="shared" si="4"/>
        <v>0</v>
      </c>
      <c r="N27" s="538">
        <f t="shared" si="4"/>
        <v>0</v>
      </c>
      <c r="O27" s="1568">
        <f t="shared" si="4"/>
        <v>0</v>
      </c>
      <c r="P27" s="538">
        <f t="shared" si="4"/>
        <v>0</v>
      </c>
      <c r="Q27" s="1568">
        <f t="shared" si="4"/>
        <v>0</v>
      </c>
      <c r="R27" s="538">
        <f t="shared" si="4"/>
        <v>0</v>
      </c>
      <c r="S27" s="1569">
        <f t="shared" si="4"/>
        <v>0</v>
      </c>
    </row>
    <row r="28" spans="2:24" s="273" customFormat="1" ht="15" x14ac:dyDescent="0.25">
      <c r="B28" s="1580" t="s">
        <v>78</v>
      </c>
      <c r="C28" s="1564">
        <f>'2. Indoor Water Demand'!E45</f>
        <v>0</v>
      </c>
      <c r="D28" s="1565">
        <f>'2. Indoor Water Demand'!F45</f>
        <v>0</v>
      </c>
      <c r="E28" s="1566" t="s">
        <v>72</v>
      </c>
      <c r="F28" s="1565">
        <f>IF(E28="Yes",'2. Indoor Water Demand'!F150,0)</f>
        <v>0</v>
      </c>
      <c r="G28" s="1567">
        <f t="shared" si="3"/>
        <v>0</v>
      </c>
      <c r="H28" s="534">
        <f t="shared" si="4"/>
        <v>0</v>
      </c>
      <c r="I28" s="1568">
        <f t="shared" si="4"/>
        <v>0</v>
      </c>
      <c r="J28" s="538">
        <f t="shared" si="4"/>
        <v>0</v>
      </c>
      <c r="K28" s="1568">
        <f t="shared" si="4"/>
        <v>0</v>
      </c>
      <c r="L28" s="538">
        <f t="shared" si="4"/>
        <v>0</v>
      </c>
      <c r="M28" s="1568">
        <f t="shared" si="4"/>
        <v>0</v>
      </c>
      <c r="N28" s="538">
        <f t="shared" si="4"/>
        <v>0</v>
      </c>
      <c r="O28" s="1568">
        <f t="shared" si="4"/>
        <v>0</v>
      </c>
      <c r="P28" s="538">
        <f t="shared" si="4"/>
        <v>0</v>
      </c>
      <c r="Q28" s="1568">
        <f t="shared" si="4"/>
        <v>0</v>
      </c>
      <c r="R28" s="538">
        <f t="shared" si="4"/>
        <v>0</v>
      </c>
      <c r="S28" s="1569">
        <f t="shared" si="4"/>
        <v>0</v>
      </c>
    </row>
    <row r="29" spans="2:24" s="273" customFormat="1" ht="15" x14ac:dyDescent="0.25">
      <c r="B29" s="1580" t="s">
        <v>79</v>
      </c>
      <c r="C29" s="1564">
        <f>'2. Indoor Water Demand'!E47</f>
        <v>0</v>
      </c>
      <c r="D29" s="1565">
        <f>'2. Indoor Water Demand'!F47</f>
        <v>0</v>
      </c>
      <c r="E29" s="1566" t="s">
        <v>73</v>
      </c>
      <c r="F29" s="1565">
        <f>IF(E29="Yes",'2. Indoor Water Demand'!F151,0)</f>
        <v>0</v>
      </c>
      <c r="G29" s="1567">
        <f t="shared" si="3"/>
        <v>0</v>
      </c>
      <c r="H29" s="534">
        <f t="shared" si="4"/>
        <v>0</v>
      </c>
      <c r="I29" s="1568">
        <f t="shared" si="4"/>
        <v>0</v>
      </c>
      <c r="J29" s="538">
        <f t="shared" si="4"/>
        <v>0</v>
      </c>
      <c r="K29" s="1568">
        <f t="shared" si="4"/>
        <v>0</v>
      </c>
      <c r="L29" s="538">
        <f t="shared" si="4"/>
        <v>0</v>
      </c>
      <c r="M29" s="1568">
        <f t="shared" si="4"/>
        <v>0</v>
      </c>
      <c r="N29" s="538">
        <f t="shared" si="4"/>
        <v>0</v>
      </c>
      <c r="O29" s="1568">
        <f t="shared" si="4"/>
        <v>0</v>
      </c>
      <c r="P29" s="538">
        <f t="shared" si="4"/>
        <v>0</v>
      </c>
      <c r="Q29" s="1568">
        <f t="shared" si="4"/>
        <v>0</v>
      </c>
      <c r="R29" s="538">
        <f t="shared" si="4"/>
        <v>0</v>
      </c>
      <c r="S29" s="1569">
        <f t="shared" si="4"/>
        <v>0</v>
      </c>
    </row>
    <row r="30" spans="2:24" s="273" customFormat="1" ht="15" x14ac:dyDescent="0.25">
      <c r="B30" s="1580" t="s">
        <v>81</v>
      </c>
      <c r="C30" s="1564">
        <f>'2. Indoor Water Demand'!E48</f>
        <v>0</v>
      </c>
      <c r="D30" s="1565">
        <f>'2. Indoor Water Demand'!F48</f>
        <v>0</v>
      </c>
      <c r="E30" s="1566" t="s">
        <v>73</v>
      </c>
      <c r="F30" s="1565">
        <f>IF(E30="Yes",'2. Indoor Water Demand'!F152,0)</f>
        <v>0</v>
      </c>
      <c r="G30" s="1567">
        <f t="shared" si="3"/>
        <v>0</v>
      </c>
      <c r="H30" s="534">
        <f t="shared" si="4"/>
        <v>0</v>
      </c>
      <c r="I30" s="1568">
        <f t="shared" si="4"/>
        <v>0</v>
      </c>
      <c r="J30" s="538">
        <f t="shared" si="4"/>
        <v>0</v>
      </c>
      <c r="K30" s="1568">
        <f t="shared" si="4"/>
        <v>0</v>
      </c>
      <c r="L30" s="538">
        <f t="shared" si="4"/>
        <v>0</v>
      </c>
      <c r="M30" s="1568">
        <f t="shared" si="4"/>
        <v>0</v>
      </c>
      <c r="N30" s="538">
        <f t="shared" si="4"/>
        <v>0</v>
      </c>
      <c r="O30" s="1568">
        <f t="shared" si="4"/>
        <v>0</v>
      </c>
      <c r="P30" s="538">
        <f t="shared" si="4"/>
        <v>0</v>
      </c>
      <c r="Q30" s="1568">
        <f t="shared" si="4"/>
        <v>0</v>
      </c>
      <c r="R30" s="538">
        <f t="shared" si="4"/>
        <v>0</v>
      </c>
      <c r="S30" s="1569">
        <f t="shared" si="4"/>
        <v>0</v>
      </c>
    </row>
    <row r="31" spans="2:24" s="273" customFormat="1" ht="15" x14ac:dyDescent="0.25">
      <c r="B31" s="1581" t="s">
        <v>235</v>
      </c>
      <c r="C31" s="1573">
        <f>SUM(C24:C30)</f>
        <v>0</v>
      </c>
      <c r="D31" s="1574">
        <f>SUM(D24:D30)</f>
        <v>0</v>
      </c>
      <c r="E31" s="1575"/>
      <c r="F31" s="1574">
        <f>SUM(F24:F30)</f>
        <v>0</v>
      </c>
      <c r="G31" s="1576">
        <f>SUM(G24:G30)</f>
        <v>0</v>
      </c>
      <c r="H31" s="1575">
        <f>SUM(H24:H30)</f>
        <v>0</v>
      </c>
      <c r="I31" s="1577">
        <f t="shared" ref="I31:S31" si="5">SUM(I24:I30)</f>
        <v>0</v>
      </c>
      <c r="J31" s="1573">
        <f t="shared" si="5"/>
        <v>0</v>
      </c>
      <c r="K31" s="1577">
        <f t="shared" si="5"/>
        <v>0</v>
      </c>
      <c r="L31" s="1573">
        <f t="shared" si="5"/>
        <v>0</v>
      </c>
      <c r="M31" s="1577">
        <f t="shared" si="5"/>
        <v>0</v>
      </c>
      <c r="N31" s="1573">
        <f t="shared" si="5"/>
        <v>0</v>
      </c>
      <c r="O31" s="1577">
        <f t="shared" si="5"/>
        <v>0</v>
      </c>
      <c r="P31" s="1573">
        <f t="shared" si="5"/>
        <v>0</v>
      </c>
      <c r="Q31" s="1577">
        <f t="shared" si="5"/>
        <v>0</v>
      </c>
      <c r="R31" s="1573">
        <f t="shared" si="5"/>
        <v>0</v>
      </c>
      <c r="S31" s="1574">
        <f t="shared" si="5"/>
        <v>0</v>
      </c>
    </row>
    <row r="32" spans="2:24" s="273" customFormat="1" ht="15" x14ac:dyDescent="0.25">
      <c r="B32" s="1578" t="s">
        <v>239</v>
      </c>
      <c r="C32" s="1562"/>
      <c r="D32" s="1559"/>
      <c r="E32" s="1558"/>
      <c r="F32" s="1559"/>
      <c r="G32" s="1579"/>
      <c r="H32" s="1558"/>
      <c r="I32" s="1561"/>
      <c r="J32" s="1562"/>
      <c r="K32" s="1561"/>
      <c r="L32" s="1562"/>
      <c r="M32" s="1561"/>
      <c r="N32" s="1562"/>
      <c r="O32" s="1561"/>
      <c r="P32" s="1562"/>
      <c r="Q32" s="1561"/>
      <c r="R32" s="1562"/>
      <c r="S32" s="1559"/>
    </row>
    <row r="33" spans="2:24" s="273" customFormat="1" ht="15" x14ac:dyDescent="0.25">
      <c r="B33" s="1582" t="s">
        <v>213</v>
      </c>
      <c r="C33" s="1564">
        <f>'2. Indoor Water Demand'!C158</f>
        <v>0</v>
      </c>
      <c r="D33" s="1565">
        <f>'2. Indoor Water Demand'!E89</f>
        <v>0</v>
      </c>
      <c r="E33" s="1566" t="s">
        <v>72</v>
      </c>
      <c r="F33" s="1565">
        <f>IF(E33="Yes",'2. Indoor Water Demand'!F158,0)</f>
        <v>0</v>
      </c>
      <c r="G33" s="1567">
        <f>SUM(F33)</f>
        <v>0</v>
      </c>
      <c r="H33" s="534">
        <f>IF($E$33="Yes",'2. Indoor Water Demand'!D169,0)</f>
        <v>0</v>
      </c>
      <c r="I33" s="1568">
        <f>IF($E$33="Yes",'2. Indoor Water Demand'!E169,0)</f>
        <v>0</v>
      </c>
      <c r="J33" s="538">
        <f>IF($E$33="Yes",'2. Indoor Water Demand'!F169,0)</f>
        <v>0</v>
      </c>
      <c r="K33" s="1568">
        <f>IF($E$33="Yes",'2. Indoor Water Demand'!G169,0)</f>
        <v>0</v>
      </c>
      <c r="L33" s="538">
        <f>IF($E$33="Yes",'2. Indoor Water Demand'!H169,0)</f>
        <v>0</v>
      </c>
      <c r="M33" s="1568">
        <f>IF($E$33="Yes",'2. Indoor Water Demand'!I169,0)</f>
        <v>0</v>
      </c>
      <c r="N33" s="538">
        <f>IF($E$33="Yes",'2. Indoor Water Demand'!J169,0)</f>
        <v>0</v>
      </c>
      <c r="O33" s="1568">
        <f>IF($E$33="Yes",'2. Indoor Water Demand'!K169,0)</f>
        <v>0</v>
      </c>
      <c r="P33" s="538">
        <f>IF($E$33="Yes",'2. Indoor Water Demand'!L169,0)</f>
        <v>0</v>
      </c>
      <c r="Q33" s="1568">
        <f>IF($E$33="Yes",'2. Indoor Water Demand'!M169,0)</f>
        <v>0</v>
      </c>
      <c r="R33" s="538">
        <f>IF($E$33="Yes",'2. Indoor Water Demand'!N169,0)</f>
        <v>0</v>
      </c>
      <c r="S33" s="1569">
        <f>IF($E$33="Yes",'2. Indoor Water Demand'!O169,0)</f>
        <v>0</v>
      </c>
    </row>
    <row r="34" spans="2:24" s="273" customFormat="1" ht="15" x14ac:dyDescent="0.25">
      <c r="B34" s="1572" t="s">
        <v>235</v>
      </c>
      <c r="C34" s="1573">
        <f>C33</f>
        <v>0</v>
      </c>
      <c r="D34" s="1574">
        <f>SUM(D33)</f>
        <v>0</v>
      </c>
      <c r="E34" s="1575"/>
      <c r="F34" s="1574">
        <f>SUM(F33)</f>
        <v>0</v>
      </c>
      <c r="G34" s="1576">
        <f>SUM(G33)</f>
        <v>0</v>
      </c>
      <c r="H34" s="1575">
        <f>SUM(H33)</f>
        <v>0</v>
      </c>
      <c r="I34" s="1577">
        <f t="shared" ref="I34:S34" si="6">SUM(I33)</f>
        <v>0</v>
      </c>
      <c r="J34" s="1573">
        <f t="shared" si="6"/>
        <v>0</v>
      </c>
      <c r="K34" s="1577">
        <f t="shared" si="6"/>
        <v>0</v>
      </c>
      <c r="L34" s="1573">
        <f t="shared" si="6"/>
        <v>0</v>
      </c>
      <c r="M34" s="1577">
        <f t="shared" si="6"/>
        <v>0</v>
      </c>
      <c r="N34" s="1573">
        <f t="shared" si="6"/>
        <v>0</v>
      </c>
      <c r="O34" s="1577">
        <f t="shared" si="6"/>
        <v>0</v>
      </c>
      <c r="P34" s="1573">
        <f t="shared" si="6"/>
        <v>0</v>
      </c>
      <c r="Q34" s="1577">
        <f t="shared" si="6"/>
        <v>0</v>
      </c>
      <c r="R34" s="1573">
        <f t="shared" si="6"/>
        <v>0</v>
      </c>
      <c r="S34" s="1574">
        <f t="shared" si="6"/>
        <v>0</v>
      </c>
    </row>
    <row r="35" spans="2:24" s="273" customFormat="1" ht="30" x14ac:dyDescent="0.25">
      <c r="B35" s="1578" t="s">
        <v>226</v>
      </c>
      <c r="C35" s="1562"/>
      <c r="D35" s="1559"/>
      <c r="E35" s="1558"/>
      <c r="F35" s="1559"/>
      <c r="G35" s="1579"/>
      <c r="H35" s="1558"/>
      <c r="I35" s="1561"/>
      <c r="J35" s="1562"/>
      <c r="K35" s="1561"/>
      <c r="L35" s="1562"/>
      <c r="M35" s="1561"/>
      <c r="N35" s="1562"/>
      <c r="O35" s="1561"/>
      <c r="P35" s="1562"/>
      <c r="Q35" s="1561"/>
      <c r="R35" s="1562"/>
      <c r="S35" s="1559"/>
    </row>
    <row r="36" spans="2:24" s="273" customFormat="1" ht="15" x14ac:dyDescent="0.25">
      <c r="B36" s="1582" t="s">
        <v>133</v>
      </c>
      <c r="C36" s="1564">
        <f>'2. Indoor Water Demand'!C108</f>
        <v>0</v>
      </c>
      <c r="D36" s="1565">
        <f>'2. Indoor Water Demand'!C110</f>
        <v>0</v>
      </c>
      <c r="E36" s="1566" t="s">
        <v>73</v>
      </c>
      <c r="F36" s="1565">
        <f>IF(E36="Yes",'2. Indoor Water Demand'!F159,0)</f>
        <v>0</v>
      </c>
      <c r="G36" s="1567">
        <f>SUM(F36)</f>
        <v>0</v>
      </c>
      <c r="H36" s="534">
        <f t="shared" ref="H36:S38" si="7">$G36/12</f>
        <v>0</v>
      </c>
      <c r="I36" s="1568">
        <f t="shared" si="7"/>
        <v>0</v>
      </c>
      <c r="J36" s="538">
        <f t="shared" si="7"/>
        <v>0</v>
      </c>
      <c r="K36" s="1568">
        <f t="shared" si="7"/>
        <v>0</v>
      </c>
      <c r="L36" s="538">
        <f t="shared" si="7"/>
        <v>0</v>
      </c>
      <c r="M36" s="1568">
        <f t="shared" si="7"/>
        <v>0</v>
      </c>
      <c r="N36" s="538">
        <f t="shared" si="7"/>
        <v>0</v>
      </c>
      <c r="O36" s="1568">
        <f t="shared" si="7"/>
        <v>0</v>
      </c>
      <c r="P36" s="538">
        <f t="shared" si="7"/>
        <v>0</v>
      </c>
      <c r="Q36" s="1568">
        <f t="shared" si="7"/>
        <v>0</v>
      </c>
      <c r="R36" s="538">
        <f t="shared" si="7"/>
        <v>0</v>
      </c>
      <c r="S36" s="1569">
        <f t="shared" si="7"/>
        <v>0</v>
      </c>
    </row>
    <row r="37" spans="2:24" s="273" customFormat="1" ht="15" x14ac:dyDescent="0.25">
      <c r="B37" s="1582" t="s">
        <v>120</v>
      </c>
      <c r="C37" s="1564">
        <f>'2. Indoor Water Demand'!C115</f>
        <v>0</v>
      </c>
      <c r="D37" s="1565">
        <f>'2. Indoor Water Demand'!C117</f>
        <v>0</v>
      </c>
      <c r="E37" s="1566" t="s">
        <v>72</v>
      </c>
      <c r="F37" s="1565">
        <f>IF(E37="Yes",'2. Indoor Water Demand'!F160,0)</f>
        <v>0</v>
      </c>
      <c r="G37" s="1567">
        <f>SUM(F37)</f>
        <v>0</v>
      </c>
      <c r="H37" s="534">
        <f t="shared" si="7"/>
        <v>0</v>
      </c>
      <c r="I37" s="1568">
        <f t="shared" si="7"/>
        <v>0</v>
      </c>
      <c r="J37" s="538">
        <f t="shared" si="7"/>
        <v>0</v>
      </c>
      <c r="K37" s="1568">
        <f t="shared" si="7"/>
        <v>0</v>
      </c>
      <c r="L37" s="538">
        <f t="shared" si="7"/>
        <v>0</v>
      </c>
      <c r="M37" s="1568">
        <f t="shared" si="7"/>
        <v>0</v>
      </c>
      <c r="N37" s="538">
        <f t="shared" si="7"/>
        <v>0</v>
      </c>
      <c r="O37" s="1568">
        <f t="shared" si="7"/>
        <v>0</v>
      </c>
      <c r="P37" s="538">
        <f t="shared" si="7"/>
        <v>0</v>
      </c>
      <c r="Q37" s="1568">
        <f t="shared" si="7"/>
        <v>0</v>
      </c>
      <c r="R37" s="538">
        <f t="shared" si="7"/>
        <v>0</v>
      </c>
      <c r="S37" s="1569">
        <f t="shared" si="7"/>
        <v>0</v>
      </c>
    </row>
    <row r="38" spans="2:24" s="273" customFormat="1" ht="15" x14ac:dyDescent="0.25">
      <c r="B38" s="1582" t="str">
        <f>'2. Indoor Water Demand'!B120</f>
        <v>&lt;Please specify here&gt;</v>
      </c>
      <c r="C38" s="1564">
        <f>'2. Indoor Water Demand'!C120</f>
        <v>0</v>
      </c>
      <c r="D38" s="1565">
        <f>'2. Indoor Water Demand'!C122</f>
        <v>0</v>
      </c>
      <c r="E38" s="1566" t="s">
        <v>72</v>
      </c>
      <c r="F38" s="1565">
        <f>IF(E38="Yes",'2. Indoor Water Demand'!F161,0)</f>
        <v>0</v>
      </c>
      <c r="G38" s="1567">
        <f>SUM(F38)</f>
        <v>0</v>
      </c>
      <c r="H38" s="534">
        <f t="shared" si="7"/>
        <v>0</v>
      </c>
      <c r="I38" s="1568">
        <f t="shared" si="7"/>
        <v>0</v>
      </c>
      <c r="J38" s="538">
        <f t="shared" si="7"/>
        <v>0</v>
      </c>
      <c r="K38" s="1568">
        <f t="shared" si="7"/>
        <v>0</v>
      </c>
      <c r="L38" s="538">
        <f t="shared" si="7"/>
        <v>0</v>
      </c>
      <c r="M38" s="1568">
        <f t="shared" si="7"/>
        <v>0</v>
      </c>
      <c r="N38" s="538">
        <f t="shared" si="7"/>
        <v>0</v>
      </c>
      <c r="O38" s="1568">
        <f t="shared" si="7"/>
        <v>0</v>
      </c>
      <c r="P38" s="538">
        <f t="shared" si="7"/>
        <v>0</v>
      </c>
      <c r="Q38" s="1568">
        <f t="shared" si="7"/>
        <v>0</v>
      </c>
      <c r="R38" s="538">
        <f t="shared" si="7"/>
        <v>0</v>
      </c>
      <c r="S38" s="1569">
        <f t="shared" si="7"/>
        <v>0</v>
      </c>
    </row>
    <row r="39" spans="2:24" s="273" customFormat="1" ht="15" x14ac:dyDescent="0.25">
      <c r="B39" s="1572" t="s">
        <v>235</v>
      </c>
      <c r="C39" s="1573">
        <f>SUM(C36:C38)</f>
        <v>0</v>
      </c>
      <c r="D39" s="1574">
        <f>SUM(D36:D38)</f>
        <v>0</v>
      </c>
      <c r="E39" s="1575"/>
      <c r="F39" s="1574">
        <f>SUM(F36:F38)</f>
        <v>0</v>
      </c>
      <c r="G39" s="1576">
        <f>SUM(G36:G38)</f>
        <v>0</v>
      </c>
      <c r="H39" s="1575">
        <f>SUM(H36:H38)</f>
        <v>0</v>
      </c>
      <c r="I39" s="1577">
        <f t="shared" ref="I39:S39" si="8">SUM(I36:I38)</f>
        <v>0</v>
      </c>
      <c r="J39" s="1573">
        <f t="shared" si="8"/>
        <v>0</v>
      </c>
      <c r="K39" s="1577">
        <f t="shared" si="8"/>
        <v>0</v>
      </c>
      <c r="L39" s="1573">
        <f t="shared" si="8"/>
        <v>0</v>
      </c>
      <c r="M39" s="1577">
        <f t="shared" si="8"/>
        <v>0</v>
      </c>
      <c r="N39" s="1573">
        <f t="shared" si="8"/>
        <v>0</v>
      </c>
      <c r="O39" s="1577">
        <f t="shared" si="8"/>
        <v>0</v>
      </c>
      <c r="P39" s="1573">
        <f t="shared" si="8"/>
        <v>0</v>
      </c>
      <c r="Q39" s="1577">
        <f t="shared" si="8"/>
        <v>0</v>
      </c>
      <c r="R39" s="1573">
        <f t="shared" si="8"/>
        <v>0</v>
      </c>
      <c r="S39" s="1574">
        <f t="shared" si="8"/>
        <v>0</v>
      </c>
    </row>
    <row r="40" spans="2:24" s="273" customFormat="1" ht="15" x14ac:dyDescent="0.25">
      <c r="B40" s="1578" t="s">
        <v>240</v>
      </c>
      <c r="C40" s="1562"/>
      <c r="D40" s="1559"/>
      <c r="E40" s="1558"/>
      <c r="F40" s="1559"/>
      <c r="G40" s="1579"/>
      <c r="H40" s="1558"/>
      <c r="I40" s="1561"/>
      <c r="J40" s="1562"/>
      <c r="K40" s="1561"/>
      <c r="L40" s="1562"/>
      <c r="M40" s="1561"/>
      <c r="N40" s="1562"/>
      <c r="O40" s="1561"/>
      <c r="P40" s="1562"/>
      <c r="Q40" s="1561"/>
      <c r="R40" s="1562"/>
      <c r="S40" s="1559"/>
    </row>
    <row r="41" spans="2:24" s="273" customFormat="1" ht="15" x14ac:dyDescent="0.25">
      <c r="B41" s="1582" t="s">
        <v>241</v>
      </c>
      <c r="C41" s="1564" t="s">
        <v>63</v>
      </c>
      <c r="D41" s="1565">
        <f>'4. Outdoor Water Demand'!K54</f>
        <v>0</v>
      </c>
      <c r="E41" s="1566" t="s">
        <v>72</v>
      </c>
      <c r="F41" s="1565">
        <f>IF(E41="Yes",'4. Outdoor Water Demand'!F84,0)</f>
        <v>0</v>
      </c>
      <c r="G41" s="1567">
        <f>SUM(F41)</f>
        <v>0</v>
      </c>
      <c r="H41" s="534">
        <f>IF($E$41="Yes",'4. Outdoor Water Demand'!C91,0)</f>
        <v>0</v>
      </c>
      <c r="I41" s="1568">
        <f>IF($E$41="Yes",'4. Outdoor Water Demand'!D91,0)</f>
        <v>0</v>
      </c>
      <c r="J41" s="538">
        <f>IF($E$41="Yes",'4. Outdoor Water Demand'!E91,0)</f>
        <v>0</v>
      </c>
      <c r="K41" s="1568">
        <f>IF($E$41="Yes",'4. Outdoor Water Demand'!F91,0)</f>
        <v>0</v>
      </c>
      <c r="L41" s="538">
        <f>IF($E$41="Yes",'4. Outdoor Water Demand'!G91,0)</f>
        <v>0</v>
      </c>
      <c r="M41" s="1568">
        <f>IF($E$41="Yes",'4. Outdoor Water Demand'!H91,0)</f>
        <v>0</v>
      </c>
      <c r="N41" s="538">
        <f>IF($E$41="Yes",'4. Outdoor Water Demand'!I91,0)</f>
        <v>0</v>
      </c>
      <c r="O41" s="1568">
        <f>IF($E$41="Yes",'4. Outdoor Water Demand'!J91,0)</f>
        <v>0</v>
      </c>
      <c r="P41" s="538">
        <f>IF($E$41="Yes",'4. Outdoor Water Demand'!K91,0)</f>
        <v>0</v>
      </c>
      <c r="Q41" s="1568">
        <f>IF($E$41="Yes",'4. Outdoor Water Demand'!L91,0)</f>
        <v>0</v>
      </c>
      <c r="R41" s="538">
        <f>IF($E$41="Yes",'4. Outdoor Water Demand'!M91,0)</f>
        <v>0</v>
      </c>
      <c r="S41" s="1569">
        <f>IF($E$41="Yes",'4. Outdoor Water Demand'!N91,0)</f>
        <v>0</v>
      </c>
    </row>
    <row r="42" spans="2:24" s="273" customFormat="1" ht="15" x14ac:dyDescent="0.25">
      <c r="B42" s="1582" t="str">
        <f>'4. Outdoor Water Demand'!B64</f>
        <v>Washing of sidewalks, street or buildings</v>
      </c>
      <c r="C42" s="1564">
        <f>'4. Outdoor Water Demand'!C85</f>
        <v>0</v>
      </c>
      <c r="D42" s="1565">
        <f>'4. Outdoor Water Demand'!F85</f>
        <v>0</v>
      </c>
      <c r="E42" s="1566" t="s">
        <v>72</v>
      </c>
      <c r="F42" s="1565">
        <f>IF(E42="Yes",'4. Outdoor Water Demand'!F85,0)</f>
        <v>0</v>
      </c>
      <c r="G42" s="1567">
        <f>SUM(F42)</f>
        <v>0</v>
      </c>
      <c r="H42" s="534">
        <f t="shared" ref="H42:S43" si="9">$G42/12</f>
        <v>0</v>
      </c>
      <c r="I42" s="1568">
        <f t="shared" si="9"/>
        <v>0</v>
      </c>
      <c r="J42" s="538">
        <f t="shared" si="9"/>
        <v>0</v>
      </c>
      <c r="K42" s="1568">
        <f t="shared" si="9"/>
        <v>0</v>
      </c>
      <c r="L42" s="538">
        <f t="shared" si="9"/>
        <v>0</v>
      </c>
      <c r="M42" s="1568">
        <f t="shared" si="9"/>
        <v>0</v>
      </c>
      <c r="N42" s="538">
        <f t="shared" si="9"/>
        <v>0</v>
      </c>
      <c r="O42" s="1568">
        <f t="shared" si="9"/>
        <v>0</v>
      </c>
      <c r="P42" s="538">
        <f t="shared" si="9"/>
        <v>0</v>
      </c>
      <c r="Q42" s="1568">
        <f t="shared" si="9"/>
        <v>0</v>
      </c>
      <c r="R42" s="538">
        <f t="shared" si="9"/>
        <v>0</v>
      </c>
      <c r="S42" s="1569">
        <f t="shared" si="9"/>
        <v>0</v>
      </c>
    </row>
    <row r="43" spans="2:24" s="273" customFormat="1" ht="15" x14ac:dyDescent="0.25">
      <c r="B43" s="1582" t="str">
        <f>'4. Outdoor Water Demand'!B68&amp;" "&amp;'4. Outdoor Water Demand'!B69</f>
        <v>Other Non-Potable Demand &lt;enter description here&gt;</v>
      </c>
      <c r="C43" s="1564">
        <f>'4. Outdoor Water Demand'!C86</f>
        <v>0</v>
      </c>
      <c r="D43" s="1565">
        <f>'4. Outdoor Water Demand'!F86</f>
        <v>0</v>
      </c>
      <c r="E43" s="1566" t="s">
        <v>72</v>
      </c>
      <c r="F43" s="1565">
        <f>IF(E43="Yes",'4. Outdoor Water Demand'!F86,0)</f>
        <v>0</v>
      </c>
      <c r="G43" s="1567">
        <f>SUM(F43)</f>
        <v>0</v>
      </c>
      <c r="H43" s="534">
        <f t="shared" si="9"/>
        <v>0</v>
      </c>
      <c r="I43" s="1568">
        <f t="shared" si="9"/>
        <v>0</v>
      </c>
      <c r="J43" s="538">
        <f t="shared" si="9"/>
        <v>0</v>
      </c>
      <c r="K43" s="1568">
        <f t="shared" si="9"/>
        <v>0</v>
      </c>
      <c r="L43" s="538">
        <f t="shared" si="9"/>
        <v>0</v>
      </c>
      <c r="M43" s="1568">
        <f t="shared" si="9"/>
        <v>0</v>
      </c>
      <c r="N43" s="538">
        <f t="shared" si="9"/>
        <v>0</v>
      </c>
      <c r="O43" s="1568">
        <f t="shared" si="9"/>
        <v>0</v>
      </c>
      <c r="P43" s="538">
        <f t="shared" si="9"/>
        <v>0</v>
      </c>
      <c r="Q43" s="1568">
        <f t="shared" si="9"/>
        <v>0</v>
      </c>
      <c r="R43" s="538">
        <f t="shared" si="9"/>
        <v>0</v>
      </c>
      <c r="S43" s="1569">
        <f t="shared" si="9"/>
        <v>0</v>
      </c>
    </row>
    <row r="44" spans="2:24" s="273" customFormat="1" ht="15.75" thickBot="1" x14ac:dyDescent="0.3">
      <c r="B44" s="1583" t="s">
        <v>235</v>
      </c>
      <c r="C44" s="1584">
        <f>SUM(C41:C43)</f>
        <v>0</v>
      </c>
      <c r="D44" s="1585">
        <f>SUM(D41:D43)</f>
        <v>0</v>
      </c>
      <c r="E44" s="1586"/>
      <c r="F44" s="1585">
        <f>SUM(F41:F43)</f>
        <v>0</v>
      </c>
      <c r="G44" s="1587">
        <f>SUM(G41:G43)</f>
        <v>0</v>
      </c>
      <c r="H44" s="1586">
        <f>SUM(H41:H43)</f>
        <v>0</v>
      </c>
      <c r="I44" s="1588">
        <f t="shared" ref="I44:S44" si="10">SUM(I41:I43)</f>
        <v>0</v>
      </c>
      <c r="J44" s="1584">
        <f t="shared" si="10"/>
        <v>0</v>
      </c>
      <c r="K44" s="1588">
        <f t="shared" si="10"/>
        <v>0</v>
      </c>
      <c r="L44" s="1584">
        <f t="shared" si="10"/>
        <v>0</v>
      </c>
      <c r="M44" s="1588">
        <f t="shared" si="10"/>
        <v>0</v>
      </c>
      <c r="N44" s="1584">
        <f t="shared" si="10"/>
        <v>0</v>
      </c>
      <c r="O44" s="1588">
        <f t="shared" si="10"/>
        <v>0</v>
      </c>
      <c r="P44" s="1584">
        <f t="shared" si="10"/>
        <v>0</v>
      </c>
      <c r="Q44" s="1588">
        <f t="shared" si="10"/>
        <v>0</v>
      </c>
      <c r="R44" s="1584">
        <f t="shared" si="10"/>
        <v>0</v>
      </c>
      <c r="S44" s="1585">
        <f t="shared" si="10"/>
        <v>0</v>
      </c>
    </row>
    <row r="45" spans="2:24" s="273" customFormat="1" ht="16.5" thickTop="1" thickBot="1" x14ac:dyDescent="0.3">
      <c r="B45" s="1589" t="s">
        <v>236</v>
      </c>
      <c r="C45" s="1590">
        <f>C22+C31+C34+C39+C44</f>
        <v>0</v>
      </c>
      <c r="D45" s="1591">
        <f>D22+D31+D34+D39+D44</f>
        <v>0</v>
      </c>
      <c r="E45" s="1592"/>
      <c r="F45" s="1591">
        <f>F22+F31+F34+F39+F44</f>
        <v>0</v>
      </c>
      <c r="G45" s="1593">
        <f>G22+G31+G34+G39+G44</f>
        <v>0</v>
      </c>
      <c r="H45" s="1592">
        <f>ROUNDUP(H22+H31+H34+H39+H44,-2)</f>
        <v>0</v>
      </c>
      <c r="I45" s="1594">
        <f>ROUNDUP(I22+I31+I34+I39+I44,-2)</f>
        <v>0</v>
      </c>
      <c r="J45" s="1590">
        <f>ROUNDUP(J22+J31+J34+J39+J44,-2)</f>
        <v>0</v>
      </c>
      <c r="K45" s="1594">
        <f t="shared" ref="K45:S45" si="11">ROUNDUP(K22+K31+K34+K39+K44,-2)</f>
        <v>0</v>
      </c>
      <c r="L45" s="1590">
        <f t="shared" si="11"/>
        <v>0</v>
      </c>
      <c r="M45" s="1594">
        <f t="shared" si="11"/>
        <v>0</v>
      </c>
      <c r="N45" s="1590">
        <f t="shared" si="11"/>
        <v>0</v>
      </c>
      <c r="O45" s="1594">
        <f t="shared" si="11"/>
        <v>0</v>
      </c>
      <c r="P45" s="1590">
        <f t="shared" si="11"/>
        <v>0</v>
      </c>
      <c r="Q45" s="1594">
        <f t="shared" si="11"/>
        <v>0</v>
      </c>
      <c r="R45" s="1590">
        <f t="shared" si="11"/>
        <v>0</v>
      </c>
      <c r="S45" s="1591">
        <f t="shared" si="11"/>
        <v>0</v>
      </c>
    </row>
    <row r="46" spans="2:24" s="273" customFormat="1" ht="15" x14ac:dyDescent="0.25">
      <c r="B46" s="1277"/>
      <c r="C46" s="1595"/>
      <c r="D46" s="1595"/>
      <c r="E46" s="1595"/>
      <c r="F46" s="1595"/>
      <c r="G46" s="1595"/>
      <c r="H46" s="1595"/>
      <c r="I46" s="1595"/>
      <c r="J46" s="1595"/>
      <c r="K46" s="1595"/>
      <c r="L46" s="1595"/>
      <c r="M46" s="1595"/>
      <c r="N46" s="1595"/>
      <c r="O46" s="1595"/>
      <c r="P46" s="1595"/>
      <c r="Q46" s="1595"/>
      <c r="R46" s="1595"/>
      <c r="S46" s="1595"/>
      <c r="T46" s="1595"/>
      <c r="U46" s="1595"/>
      <c r="V46" s="1595"/>
      <c r="W46" s="1595"/>
      <c r="X46" s="1595"/>
    </row>
    <row r="47" spans="2:24" s="273" customFormat="1" ht="15" x14ac:dyDescent="0.25">
      <c r="B47" s="1277"/>
      <c r="C47" s="1595"/>
      <c r="D47" s="1595"/>
      <c r="E47" s="1595"/>
      <c r="F47" s="1595"/>
      <c r="G47" s="1595"/>
      <c r="H47" s="1595"/>
      <c r="I47" s="1595"/>
      <c r="J47" s="1595"/>
      <c r="K47" s="1595"/>
      <c r="L47" s="1595"/>
      <c r="M47" s="1595"/>
      <c r="N47" s="1595"/>
      <c r="O47" s="1595"/>
      <c r="P47" s="1595"/>
      <c r="Q47" s="1595"/>
      <c r="R47" s="1595"/>
      <c r="S47" s="1595"/>
      <c r="T47" s="1595"/>
      <c r="U47" s="1595"/>
      <c r="V47" s="1595"/>
      <c r="W47" s="1595"/>
      <c r="X47" s="1595"/>
    </row>
    <row r="48" spans="2:24" s="273" customFormat="1" ht="15" x14ac:dyDescent="0.25">
      <c r="B48" s="1596" t="s">
        <v>355</v>
      </c>
      <c r="C48" s="1597">
        <f>D45</f>
        <v>0</v>
      </c>
      <c r="D48" s="1595"/>
      <c r="E48" s="1595"/>
      <c r="F48" s="1595"/>
      <c r="G48" s="1595"/>
      <c r="H48" s="1595"/>
      <c r="I48" s="1595"/>
      <c r="J48" s="1595"/>
      <c r="K48" s="1595"/>
      <c r="L48" s="1595"/>
      <c r="M48" s="1595"/>
      <c r="N48" s="1595"/>
      <c r="O48" s="1595"/>
      <c r="P48" s="1595"/>
      <c r="Q48" s="1595"/>
      <c r="R48" s="1595"/>
      <c r="S48" s="1595"/>
      <c r="T48" s="1595"/>
      <c r="U48" s="1595"/>
      <c r="V48" s="1595"/>
      <c r="W48" s="1595"/>
      <c r="X48" s="1595"/>
    </row>
    <row r="49" spans="2:24" s="273" customFormat="1" ht="15" x14ac:dyDescent="0.25">
      <c r="B49" s="1277"/>
      <c r="C49" s="1595"/>
      <c r="D49" s="1595" t="s">
        <v>265</v>
      </c>
      <c r="E49" s="1595"/>
      <c r="F49" s="1595"/>
      <c r="G49" s="1595"/>
      <c r="H49" s="1595"/>
      <c r="I49" s="1595"/>
      <c r="J49" s="1595"/>
      <c r="K49" s="1595"/>
      <c r="L49" s="1595"/>
      <c r="M49" s="1595"/>
      <c r="N49" s="1595"/>
      <c r="O49" s="1595"/>
      <c r="P49" s="1595"/>
      <c r="Q49" s="1595"/>
      <c r="R49" s="1595"/>
      <c r="S49" s="1595"/>
      <c r="T49" s="1595"/>
      <c r="U49" s="1595"/>
      <c r="V49" s="1595"/>
      <c r="W49" s="1595"/>
      <c r="X49" s="1595"/>
    </row>
    <row r="50" spans="2:24" s="273" customFormat="1" ht="15.75" x14ac:dyDescent="0.25">
      <c r="B50" s="1598" t="s">
        <v>354</v>
      </c>
      <c r="C50" s="1599">
        <f>G45</f>
        <v>0</v>
      </c>
      <c r="D50" s="1600">
        <f>IF(C48=0,0,C50/$C$48)</f>
        <v>0</v>
      </c>
      <c r="E50" s="1595"/>
      <c r="F50" s="1595"/>
      <c r="G50" s="1595"/>
      <c r="H50" s="1595"/>
      <c r="I50" s="1595"/>
      <c r="J50" s="1595"/>
      <c r="K50" s="1601"/>
      <c r="L50" s="1595"/>
      <c r="M50" s="1595"/>
      <c r="N50" s="1595"/>
      <c r="O50" s="1595"/>
      <c r="P50" s="1595"/>
      <c r="Q50" s="1595"/>
      <c r="R50" s="1595"/>
      <c r="S50" s="1595"/>
      <c r="T50" s="1595"/>
      <c r="U50" s="1595"/>
      <c r="V50" s="1595"/>
      <c r="W50" s="1595"/>
      <c r="X50" s="1595"/>
    </row>
    <row r="51" spans="2:24" s="273" customFormat="1" ht="6" customHeight="1" x14ac:dyDescent="0.25">
      <c r="B51" s="1277"/>
      <c r="C51" s="1595"/>
      <c r="D51" s="1595"/>
      <c r="E51" s="1595"/>
      <c r="F51" s="1595"/>
      <c r="G51" s="1595"/>
      <c r="H51" s="1595"/>
      <c r="I51" s="1595"/>
      <c r="J51" s="1595"/>
      <c r="K51" s="1595"/>
      <c r="L51" s="1595"/>
      <c r="M51" s="1595"/>
      <c r="N51" s="1595"/>
      <c r="O51" s="1595"/>
      <c r="P51" s="1595"/>
      <c r="Q51" s="1595"/>
      <c r="R51" s="1595"/>
      <c r="S51" s="1595"/>
      <c r="T51" s="1595"/>
      <c r="U51" s="1595"/>
      <c r="V51" s="1595"/>
      <c r="W51" s="1595"/>
      <c r="X51" s="1595"/>
    </row>
    <row r="52" spans="2:24" s="273" customFormat="1" ht="15" x14ac:dyDescent="0.25">
      <c r="B52" s="1602" t="s">
        <v>254</v>
      </c>
      <c r="C52" s="1603">
        <f>G18+G19+G28</f>
        <v>0</v>
      </c>
      <c r="D52" s="1604">
        <f>IF(C48=0,0,C52/$C$48)</f>
        <v>0</v>
      </c>
      <c r="E52" s="1595"/>
      <c r="F52" s="1595"/>
      <c r="G52" s="1595"/>
      <c r="H52" s="1595"/>
      <c r="I52" s="1595"/>
      <c r="J52" s="1595"/>
      <c r="K52" s="1601"/>
      <c r="L52" s="1595"/>
      <c r="M52" s="1595"/>
      <c r="N52" s="1595"/>
      <c r="O52" s="1595"/>
      <c r="P52" s="1595"/>
      <c r="Q52" s="1595"/>
      <c r="R52" s="1595"/>
      <c r="S52" s="1595"/>
      <c r="T52" s="1595"/>
      <c r="U52" s="1595"/>
      <c r="V52" s="1595"/>
      <c r="W52" s="1595"/>
      <c r="X52" s="1595"/>
    </row>
    <row r="53" spans="2:24" s="273" customFormat="1" ht="15" x14ac:dyDescent="0.25">
      <c r="B53" s="1605" t="s">
        <v>482</v>
      </c>
      <c r="C53" s="1606">
        <f>G34</f>
        <v>0</v>
      </c>
      <c r="D53" s="1607">
        <f>IF(C48=0,0,C53/$C$48)</f>
        <v>0</v>
      </c>
      <c r="E53" s="1595"/>
      <c r="F53" s="1595"/>
      <c r="G53" s="1595"/>
      <c r="H53" s="1595"/>
      <c r="I53" s="1595"/>
      <c r="J53" s="1595"/>
      <c r="K53" s="1595"/>
      <c r="L53" s="1595"/>
      <c r="M53" s="1595"/>
      <c r="N53" s="1595"/>
      <c r="O53" s="1595"/>
      <c r="P53" s="1595"/>
      <c r="Q53" s="1595"/>
      <c r="R53" s="1595"/>
      <c r="S53" s="1595"/>
      <c r="T53" s="1595"/>
      <c r="U53" s="1595"/>
      <c r="V53" s="1595"/>
      <c r="W53" s="1595"/>
      <c r="X53" s="1595"/>
    </row>
    <row r="54" spans="2:24" s="273" customFormat="1" ht="15" x14ac:dyDescent="0.25">
      <c r="B54" s="1605" t="s">
        <v>255</v>
      </c>
      <c r="C54" s="1606">
        <f>G41</f>
        <v>0</v>
      </c>
      <c r="D54" s="1607">
        <f>IF(C48=0,0,C54/$C$48)</f>
        <v>0</v>
      </c>
      <c r="E54" s="1595"/>
      <c r="F54" s="1595"/>
      <c r="G54" s="1595"/>
      <c r="H54" s="1595"/>
      <c r="I54" s="1595"/>
      <c r="J54" s="1595"/>
      <c r="K54" s="1601"/>
      <c r="L54" s="1595"/>
      <c r="M54" s="1595"/>
      <c r="N54" s="1595"/>
      <c r="O54" s="1595"/>
      <c r="P54" s="1595"/>
      <c r="Q54" s="1595"/>
      <c r="R54" s="1595"/>
      <c r="S54" s="1595"/>
      <c r="T54" s="1595"/>
      <c r="U54" s="1595"/>
      <c r="V54" s="1595"/>
      <c r="W54" s="1595"/>
      <c r="X54" s="275"/>
    </row>
    <row r="55" spans="2:24" s="273" customFormat="1" ht="15" x14ac:dyDescent="0.25">
      <c r="B55" s="1605" t="s">
        <v>483</v>
      </c>
      <c r="C55" s="1606">
        <f>G39</f>
        <v>0</v>
      </c>
      <c r="D55" s="1607">
        <f>IF(C48=0,0,C55/$C$48)</f>
        <v>0</v>
      </c>
      <c r="E55" s="1595"/>
      <c r="F55" s="1595"/>
      <c r="G55" s="1595"/>
      <c r="H55" s="1595"/>
      <c r="I55" s="1595"/>
      <c r="J55" s="1595"/>
      <c r="K55" s="1601"/>
      <c r="L55" s="1595"/>
      <c r="M55" s="1595"/>
      <c r="N55" s="1595"/>
      <c r="O55" s="1595"/>
      <c r="P55" s="1595"/>
      <c r="Q55" s="1595"/>
      <c r="R55" s="1595"/>
      <c r="S55" s="1595"/>
      <c r="T55" s="1595"/>
      <c r="U55" s="1595"/>
      <c r="V55" s="1595"/>
      <c r="W55" s="1595"/>
      <c r="X55" s="275"/>
    </row>
    <row r="56" spans="2:24" s="273" customFormat="1" ht="15" x14ac:dyDescent="0.25">
      <c r="B56" s="1608" t="s">
        <v>484</v>
      </c>
      <c r="C56" s="1609">
        <f>G42+G43</f>
        <v>0</v>
      </c>
      <c r="D56" s="1610">
        <f>IF(C48=0,0,C56/$C$48)</f>
        <v>0</v>
      </c>
      <c r="E56" s="1595"/>
      <c r="F56" s="1595"/>
      <c r="G56" s="1595"/>
      <c r="H56" s="1595"/>
      <c r="I56" s="1595"/>
      <c r="J56" s="1595"/>
      <c r="K56" s="1595"/>
      <c r="L56" s="1595"/>
      <c r="M56" s="1595"/>
      <c r="N56" s="1595"/>
      <c r="O56" s="1595"/>
      <c r="P56" s="1595"/>
      <c r="Q56" s="1595"/>
      <c r="R56" s="1595"/>
      <c r="S56" s="1595"/>
      <c r="T56" s="1595"/>
      <c r="U56" s="1595"/>
      <c r="V56" s="1595"/>
      <c r="W56" s="1595"/>
      <c r="X56" s="275"/>
    </row>
    <row r="57" spans="2:24" s="258" customFormat="1" ht="15" x14ac:dyDescent="0.25">
      <c r="X57" s="259"/>
    </row>
    <row r="58" spans="2:24" s="936" customFormat="1" ht="15.75" x14ac:dyDescent="0.25">
      <c r="B58" s="1096" t="s">
        <v>275</v>
      </c>
      <c r="C58" s="959"/>
      <c r="D58" s="959"/>
      <c r="E58" s="959"/>
      <c r="F58" s="959"/>
      <c r="G58" s="959"/>
      <c r="H58" s="959"/>
      <c r="I58" s="959"/>
      <c r="J58" s="959"/>
      <c r="K58" s="959"/>
      <c r="L58" s="959"/>
      <c r="S58" s="959"/>
      <c r="X58" s="920"/>
    </row>
    <row r="59" spans="2:24" s="258" customFormat="1" ht="23.25" customHeight="1" thickBot="1" x14ac:dyDescent="0.3">
      <c r="B59" s="1611" t="s">
        <v>377</v>
      </c>
      <c r="C59" s="247"/>
      <c r="D59" s="247"/>
      <c r="E59" s="247"/>
      <c r="F59" s="247"/>
      <c r="G59" s="247"/>
      <c r="H59" s="247"/>
      <c r="I59" s="247"/>
      <c r="J59" s="247"/>
      <c r="K59" s="247"/>
      <c r="L59" s="247"/>
      <c r="S59" s="247"/>
      <c r="X59" s="259"/>
    </row>
    <row r="60" spans="2:24" s="258" customFormat="1" ht="15.75" thickBot="1" x14ac:dyDescent="0.3">
      <c r="E60" s="1612" t="s">
        <v>234</v>
      </c>
      <c r="F60" s="1613"/>
      <c r="G60" s="1613"/>
      <c r="H60" s="1613"/>
      <c r="I60" s="1613"/>
      <c r="J60" s="1613"/>
      <c r="K60" s="1613"/>
      <c r="L60" s="1613"/>
      <c r="M60" s="1613"/>
      <c r="N60" s="1613"/>
      <c r="O60" s="1613"/>
      <c r="P60" s="1614"/>
      <c r="X60" s="259"/>
    </row>
    <row r="61" spans="2:24" s="258" customFormat="1" ht="30" x14ac:dyDescent="0.25">
      <c r="B61" s="1615" t="s">
        <v>214</v>
      </c>
      <c r="C61" s="1207" t="s">
        <v>459</v>
      </c>
      <c r="D61" s="1106" t="s">
        <v>219</v>
      </c>
      <c r="E61" s="1616" t="s">
        <v>28</v>
      </c>
      <c r="F61" s="1617" t="s">
        <v>29</v>
      </c>
      <c r="G61" s="1618" t="s">
        <v>30</v>
      </c>
      <c r="H61" s="1617" t="s">
        <v>31</v>
      </c>
      <c r="I61" s="1618" t="s">
        <v>32</v>
      </c>
      <c r="J61" s="1617" t="s">
        <v>33</v>
      </c>
      <c r="K61" s="1618" t="s">
        <v>8</v>
      </c>
      <c r="L61" s="1617" t="s">
        <v>9</v>
      </c>
      <c r="M61" s="1618" t="s">
        <v>0</v>
      </c>
      <c r="N61" s="1617" t="s">
        <v>2</v>
      </c>
      <c r="O61" s="1618" t="s">
        <v>3</v>
      </c>
      <c r="P61" s="1619" t="s">
        <v>4</v>
      </c>
      <c r="X61" s="259"/>
    </row>
    <row r="62" spans="2:24" s="258" customFormat="1" ht="15" x14ac:dyDescent="0.25">
      <c r="B62" s="1620" t="s">
        <v>102</v>
      </c>
      <c r="C62" s="1621">
        <f>'3. Indoor Non-Potable Supply'!C123</f>
        <v>0</v>
      </c>
      <c r="D62" s="1622">
        <f>'3. Indoor Non-Potable Supply'!F123</f>
        <v>0</v>
      </c>
      <c r="E62" s="1623">
        <f>$D62/12</f>
        <v>0</v>
      </c>
      <c r="F62" s="1624">
        <f t="shared" ref="F62:P63" si="12">$D62/12</f>
        <v>0</v>
      </c>
      <c r="G62" s="1625">
        <f t="shared" si="12"/>
        <v>0</v>
      </c>
      <c r="H62" s="1624">
        <f t="shared" si="12"/>
        <v>0</v>
      </c>
      <c r="I62" s="1625">
        <f t="shared" si="12"/>
        <v>0</v>
      </c>
      <c r="J62" s="1624">
        <f t="shared" si="12"/>
        <v>0</v>
      </c>
      <c r="K62" s="1625">
        <f t="shared" si="12"/>
        <v>0</v>
      </c>
      <c r="L62" s="1624">
        <f t="shared" si="12"/>
        <v>0</v>
      </c>
      <c r="M62" s="1625">
        <f t="shared" si="12"/>
        <v>0</v>
      </c>
      <c r="N62" s="1624">
        <f t="shared" si="12"/>
        <v>0</v>
      </c>
      <c r="O62" s="1625">
        <f t="shared" si="12"/>
        <v>0</v>
      </c>
      <c r="P62" s="1626">
        <f t="shared" si="12"/>
        <v>0</v>
      </c>
      <c r="X62" s="259"/>
    </row>
    <row r="63" spans="2:24" s="258" customFormat="1" ht="15" x14ac:dyDescent="0.25">
      <c r="B63" s="1627" t="s">
        <v>127</v>
      </c>
      <c r="C63" s="1628">
        <f>'3. Indoor Non-Potable Supply'!D123</f>
        <v>0</v>
      </c>
      <c r="D63" s="1629">
        <f>'3. Indoor Non-Potable Supply'!G123</f>
        <v>0</v>
      </c>
      <c r="E63" s="1630">
        <f t="shared" ref="E63:P64" si="13">$D63/12</f>
        <v>0</v>
      </c>
      <c r="F63" s="1631">
        <f t="shared" si="12"/>
        <v>0</v>
      </c>
      <c r="G63" s="1632">
        <f t="shared" si="12"/>
        <v>0</v>
      </c>
      <c r="H63" s="1631">
        <f t="shared" si="12"/>
        <v>0</v>
      </c>
      <c r="I63" s="1632">
        <f t="shared" si="12"/>
        <v>0</v>
      </c>
      <c r="J63" s="1631">
        <f t="shared" si="12"/>
        <v>0</v>
      </c>
      <c r="K63" s="1632">
        <f t="shared" si="12"/>
        <v>0</v>
      </c>
      <c r="L63" s="1631">
        <f t="shared" si="12"/>
        <v>0</v>
      </c>
      <c r="M63" s="1632">
        <f t="shared" si="12"/>
        <v>0</v>
      </c>
      <c r="N63" s="1631">
        <f t="shared" si="12"/>
        <v>0</v>
      </c>
      <c r="O63" s="1632">
        <f t="shared" si="12"/>
        <v>0</v>
      </c>
      <c r="P63" s="1633">
        <f t="shared" si="12"/>
        <v>0</v>
      </c>
      <c r="X63" s="259"/>
    </row>
    <row r="64" spans="2:24" s="258" customFormat="1" ht="15" x14ac:dyDescent="0.25">
      <c r="B64" s="1627" t="s">
        <v>488</v>
      </c>
      <c r="C64" s="1628">
        <f>'3. Indoor Non-Potable Supply'!E123</f>
        <v>0</v>
      </c>
      <c r="D64" s="1629">
        <f>'3. Indoor Non-Potable Supply'!I123</f>
        <v>0</v>
      </c>
      <c r="E64" s="1630">
        <f t="shared" si="13"/>
        <v>0</v>
      </c>
      <c r="F64" s="1631">
        <f t="shared" si="13"/>
        <v>0</v>
      </c>
      <c r="G64" s="1632">
        <f t="shared" si="13"/>
        <v>0</v>
      </c>
      <c r="H64" s="1631">
        <f t="shared" si="13"/>
        <v>0</v>
      </c>
      <c r="I64" s="1632">
        <f t="shared" si="13"/>
        <v>0</v>
      </c>
      <c r="J64" s="1631">
        <f t="shared" si="13"/>
        <v>0</v>
      </c>
      <c r="K64" s="1632">
        <f t="shared" si="13"/>
        <v>0</v>
      </c>
      <c r="L64" s="1631">
        <f t="shared" si="13"/>
        <v>0</v>
      </c>
      <c r="M64" s="1632">
        <f t="shared" si="13"/>
        <v>0</v>
      </c>
      <c r="N64" s="1631">
        <f t="shared" si="13"/>
        <v>0</v>
      </c>
      <c r="O64" s="1632">
        <f t="shared" si="13"/>
        <v>0</v>
      </c>
      <c r="P64" s="1633">
        <f t="shared" si="13"/>
        <v>0</v>
      </c>
      <c r="X64" s="259"/>
    </row>
    <row r="65" spans="2:24" s="258" customFormat="1" ht="15" x14ac:dyDescent="0.25">
      <c r="B65" s="1627" t="s">
        <v>177</v>
      </c>
      <c r="C65" s="1634" t="s">
        <v>63</v>
      </c>
      <c r="D65" s="1629">
        <f>'5. Outdoor Non-Potable Supply'!C45</f>
        <v>0</v>
      </c>
      <c r="E65" s="1630">
        <f>'5. Outdoor Non-Potable Supply'!$H$29</f>
        <v>0</v>
      </c>
      <c r="F65" s="1631">
        <f>'5. Outdoor Non-Potable Supply'!$H$30</f>
        <v>0</v>
      </c>
      <c r="G65" s="1632">
        <f>'5. Outdoor Non-Potable Supply'!$H$31</f>
        <v>0</v>
      </c>
      <c r="H65" s="1631">
        <f>'5. Outdoor Non-Potable Supply'!$H$32</f>
        <v>0</v>
      </c>
      <c r="I65" s="1632">
        <f>'5. Outdoor Non-Potable Supply'!$H$33</f>
        <v>0</v>
      </c>
      <c r="J65" s="1631">
        <f>'5. Outdoor Non-Potable Supply'!$H$34</f>
        <v>0</v>
      </c>
      <c r="K65" s="1632">
        <f>'5. Outdoor Non-Potable Supply'!$H$35</f>
        <v>0</v>
      </c>
      <c r="L65" s="1631">
        <f>'5. Outdoor Non-Potable Supply'!$H$36</f>
        <v>0</v>
      </c>
      <c r="M65" s="1632">
        <f>'5. Outdoor Non-Potable Supply'!$H$37</f>
        <v>0</v>
      </c>
      <c r="N65" s="1631">
        <f>'5. Outdoor Non-Potable Supply'!$H$38</f>
        <v>0</v>
      </c>
      <c r="O65" s="1632">
        <f>'5. Outdoor Non-Potable Supply'!$H$39</f>
        <v>0</v>
      </c>
      <c r="P65" s="1633">
        <f>'5. Outdoor Non-Potable Supply'!$H$40</f>
        <v>0</v>
      </c>
      <c r="X65" s="259"/>
    </row>
    <row r="66" spans="2:24" s="258" customFormat="1" ht="15.75" thickBot="1" x14ac:dyDescent="0.3">
      <c r="B66" s="1635" t="s">
        <v>653</v>
      </c>
      <c r="C66" s="1636"/>
      <c r="D66" s="1141">
        <f t="shared" ref="D66:P66" si="14">SUM(D63:D65)</f>
        <v>0</v>
      </c>
      <c r="E66" s="1142">
        <f t="shared" si="14"/>
        <v>0</v>
      </c>
      <c r="F66" s="1637">
        <f t="shared" si="14"/>
        <v>0</v>
      </c>
      <c r="G66" s="1144">
        <f t="shared" si="14"/>
        <v>0</v>
      </c>
      <c r="H66" s="1637">
        <f t="shared" si="14"/>
        <v>0</v>
      </c>
      <c r="I66" s="1144">
        <f t="shared" si="14"/>
        <v>0</v>
      </c>
      <c r="J66" s="1637">
        <f t="shared" si="14"/>
        <v>0</v>
      </c>
      <c r="K66" s="1144">
        <f t="shared" si="14"/>
        <v>0</v>
      </c>
      <c r="L66" s="1637">
        <f t="shared" si="14"/>
        <v>0</v>
      </c>
      <c r="M66" s="1144">
        <f t="shared" si="14"/>
        <v>0</v>
      </c>
      <c r="N66" s="1637">
        <f t="shared" si="14"/>
        <v>0</v>
      </c>
      <c r="O66" s="1144">
        <f t="shared" si="14"/>
        <v>0</v>
      </c>
      <c r="P66" s="1164">
        <f t="shared" si="14"/>
        <v>0</v>
      </c>
      <c r="X66" s="259"/>
    </row>
    <row r="67" spans="2:24" s="258" customFormat="1" ht="15" x14ac:dyDescent="0.25">
      <c r="B67" s="258" t="s">
        <v>654</v>
      </c>
      <c r="X67" s="259"/>
    </row>
    <row r="68" spans="2:24" s="258" customFormat="1" ht="15" x14ac:dyDescent="0.25">
      <c r="X68" s="259"/>
    </row>
    <row r="69" spans="2:24" s="258" customFormat="1" ht="15" x14ac:dyDescent="0.25">
      <c r="B69" s="1596" t="s">
        <v>256</v>
      </c>
      <c r="C69" s="1597">
        <f>D62</f>
        <v>0</v>
      </c>
      <c r="X69" s="259"/>
    </row>
    <row r="70" spans="2:24" s="258" customFormat="1" ht="15" x14ac:dyDescent="0.25">
      <c r="B70" s="1277"/>
      <c r="C70" s="1595"/>
      <c r="X70" s="259"/>
    </row>
    <row r="71" spans="2:24" s="258" customFormat="1" ht="15" x14ac:dyDescent="0.25">
      <c r="B71" s="1596" t="s">
        <v>257</v>
      </c>
      <c r="C71" s="1597">
        <f>D63</f>
        <v>0</v>
      </c>
      <c r="X71" s="259"/>
    </row>
    <row r="72" spans="2:24" s="258" customFormat="1" ht="15" x14ac:dyDescent="0.25">
      <c r="B72" s="1277"/>
      <c r="C72" s="1595"/>
      <c r="X72" s="259"/>
    </row>
    <row r="73" spans="2:24" s="258" customFormat="1" ht="15" x14ac:dyDescent="0.25">
      <c r="B73" s="1596" t="s">
        <v>490</v>
      </c>
      <c r="C73" s="1597">
        <f>D64</f>
        <v>0</v>
      </c>
      <c r="X73" s="259"/>
    </row>
    <row r="74" spans="2:24" s="258" customFormat="1" ht="15" x14ac:dyDescent="0.25">
      <c r="B74" s="1277"/>
      <c r="C74" s="1595"/>
      <c r="X74" s="259"/>
    </row>
    <row r="75" spans="2:24" s="258" customFormat="1" ht="15" x14ac:dyDescent="0.25">
      <c r="B75" s="1596" t="s">
        <v>258</v>
      </c>
      <c r="C75" s="1597">
        <f>D65</f>
        <v>0</v>
      </c>
      <c r="X75" s="259"/>
    </row>
    <row r="76" spans="2:24" s="258" customFormat="1" ht="15" x14ac:dyDescent="0.25">
      <c r="X76" s="259"/>
    </row>
    <row r="77" spans="2:24" s="258" customFormat="1" ht="15" x14ac:dyDescent="0.25">
      <c r="B77" s="1277"/>
      <c r="C77" s="1595"/>
      <c r="X77" s="259"/>
    </row>
    <row r="78" spans="2:24" s="258" customFormat="1" ht="15" x14ac:dyDescent="0.25">
      <c r="X78" s="259"/>
    </row>
    <row r="79" spans="2:24" s="972" customFormat="1" ht="18.75" x14ac:dyDescent="0.3">
      <c r="B79" s="1752" t="s">
        <v>227</v>
      </c>
      <c r="C79" s="1752"/>
      <c r="D79" s="1752"/>
      <c r="E79" s="1752"/>
      <c r="F79" s="1752"/>
      <c r="G79" s="1752"/>
      <c r="H79" s="1752"/>
      <c r="I79" s="1752"/>
      <c r="J79" s="1752"/>
      <c r="K79" s="1752"/>
      <c r="L79" s="1752"/>
      <c r="M79" s="1752"/>
      <c r="N79" s="1752"/>
      <c r="O79" s="971"/>
      <c r="P79" s="971"/>
      <c r="Q79" s="971"/>
      <c r="R79" s="971"/>
      <c r="S79" s="971"/>
      <c r="X79" s="1638"/>
    </row>
    <row r="80" spans="2:24" x14ac:dyDescent="0.2">
      <c r="B80" s="202"/>
      <c r="C80" s="202"/>
      <c r="D80" s="202"/>
      <c r="E80" s="202"/>
      <c r="F80" s="202"/>
      <c r="G80" s="202"/>
      <c r="H80" s="202"/>
      <c r="I80" s="202"/>
      <c r="J80" s="202"/>
      <c r="K80" s="202"/>
      <c r="L80" s="202"/>
      <c r="M80" s="202"/>
      <c r="N80" s="202"/>
      <c r="O80" s="202"/>
      <c r="P80" s="202"/>
    </row>
  </sheetData>
  <sheetProtection algorithmName="SHA-512" hashValue="d+eoSTy/UYtw0vIVwvUEk0f3sWgbsYkEgxi+0j69al7/8WUhhcOutyVOT3bApwFyS6PTUeQJrb4/APF/AR3Juw==" saltValue="bAVBlkTpG95oLNIy1ADFqw==" spinCount="100000" sheet="1" objects="1" scenarios="1" selectLockedCells="1"/>
  <customSheetViews>
    <customSheetView guid="{27ECCA9D-8222-4026-A3C8-C768CAE028E0}" fitToPage="1" hiddenColumns="1">
      <selection activeCell="C48" sqref="C48"/>
      <pageMargins left="0.7" right="0.7" top="0.75" bottom="0.75" header="0.3" footer="0.3"/>
      <pageSetup scale="37" orientation="landscape" r:id="rId1"/>
      <headerFooter>
        <oddFooter>&amp;LApril 2014&amp;C&amp;A&amp;RPage &amp;P of &amp;N</oddFooter>
      </headerFooter>
    </customSheetView>
    <customSheetView guid="{D635BEAF-4410-44C3-8109-399BEE34BBD8}" scale="60" fitToPage="1" hiddenColumns="1">
      <selection activeCell="N54" sqref="N54"/>
      <pageMargins left="0.7" right="0.7" top="0.75" bottom="0.75" header="0.3" footer="0.3"/>
      <pageSetup scale="37" orientation="landscape" r:id="rId2"/>
      <headerFooter>
        <oddFooter>&amp;LApril 2014&amp;C&amp;A&amp;RPage &amp;P of &amp;N</oddFooter>
      </headerFooter>
    </customSheetView>
  </customSheetViews>
  <mergeCells count="1">
    <mergeCell ref="B79:N79"/>
  </mergeCells>
  <conditionalFormatting sqref="G33 G16:R30 G36:G38 G41:G43">
    <cfRule type="expression" dxfId="47" priority="9">
      <formula>#REF!=1</formula>
    </cfRule>
  </conditionalFormatting>
  <conditionalFormatting sqref="B16:B30">
    <cfRule type="expression" dxfId="46" priority="10">
      <formula>#REF!=1</formula>
    </cfRule>
  </conditionalFormatting>
  <conditionalFormatting sqref="S16:S30">
    <cfRule type="expression" dxfId="45" priority="3">
      <formula>#REF!=1</formula>
    </cfRule>
  </conditionalFormatting>
  <conditionalFormatting sqref="H33:R33">
    <cfRule type="expression" dxfId="44" priority="2">
      <formula>#REF!=1</formula>
    </cfRule>
  </conditionalFormatting>
  <conditionalFormatting sqref="S33">
    <cfRule type="expression" dxfId="43" priority="1">
      <formula>#REF!=1</formula>
    </cfRule>
  </conditionalFormatting>
  <dataValidations count="1">
    <dataValidation type="list" allowBlank="1" showInputMessage="1" showErrorMessage="1" sqref="E16:E21 E41:E43 E24:E30 E33 E36:E38">
      <formula1>$AK$6:$AK$7</formula1>
    </dataValidation>
  </dataValidations>
  <pageMargins left="0.7" right="0.7" top="0.75" bottom="0.75" header="0.3" footer="0.3"/>
  <pageSetup scale="37" orientation="landscape" r:id="rId3"/>
  <headerFooter>
    <oddFooter>&amp;LApril 2014&amp;C&amp;A&amp;RPage &amp;P of &amp;N</oddFooter>
  </headerFooter>
  <legacyDrawing r:id="rId4"/>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A1:AS313"/>
  <sheetViews>
    <sheetView zoomScale="40" zoomScaleNormal="40" workbookViewId="0">
      <selection activeCell="C50" activeCellId="16" sqref="C130:D130 C132 C121 C117 C106 C104 C98:C99 C88:C92 C82:C86 C73:C77 C68:C71 C25:C27 C30:C31 C34 C37:C40 C46:C47 C50:C52"/>
    </sheetView>
  </sheetViews>
  <sheetFormatPr defaultColWidth="8.85546875" defaultRowHeight="12.75" x14ac:dyDescent="0.2"/>
  <cols>
    <col min="1" max="1" width="2.7109375" style="424" customWidth="1"/>
    <col min="2" max="2" width="49" style="424" customWidth="1"/>
    <col min="3" max="3" width="17" style="424" customWidth="1"/>
    <col min="4" max="4" width="24.42578125" style="424" customWidth="1"/>
    <col min="5" max="5" width="21.7109375" style="424" customWidth="1"/>
    <col min="6" max="6" width="23.5703125" style="424" bestFit="1" customWidth="1"/>
    <col min="7" max="7" width="18.140625" style="424" customWidth="1"/>
    <col min="8" max="8" width="14.140625" style="424" customWidth="1"/>
    <col min="9" max="9" width="14.7109375" style="424" bestFit="1" customWidth="1"/>
    <col min="10" max="12" width="15" style="424" bestFit="1" customWidth="1"/>
    <col min="13" max="13" width="14.7109375" style="424" bestFit="1" customWidth="1"/>
    <col min="14" max="15" width="15" style="424" bestFit="1" customWidth="1"/>
    <col min="16" max="16" width="15.42578125" style="424" bestFit="1" customWidth="1"/>
    <col min="17" max="17" width="15" style="424" bestFit="1" customWidth="1"/>
    <col min="18" max="18" width="14.7109375" style="424" bestFit="1" customWidth="1"/>
    <col min="19" max="19" width="11.42578125" style="424" customWidth="1"/>
    <col min="20" max="20" width="10.85546875" style="424" customWidth="1"/>
    <col min="21" max="21" width="11.85546875" style="424" customWidth="1"/>
    <col min="22" max="22" width="10.85546875" style="424" customWidth="1"/>
    <col min="23" max="31" width="0" style="424" hidden="1" customWidth="1"/>
    <col min="32" max="33" width="8.85546875" style="424" hidden="1" customWidth="1"/>
    <col min="34" max="34" width="11.7109375" style="424" hidden="1" customWidth="1"/>
    <col min="35" max="37" width="8.85546875" style="424" hidden="1" customWidth="1"/>
    <col min="38" max="38" width="16.140625" style="424" hidden="1" customWidth="1"/>
    <col min="39" max="40" width="8.85546875" style="424" hidden="1" customWidth="1"/>
    <col min="41" max="41" width="15.42578125" style="424" hidden="1" customWidth="1"/>
    <col min="42" max="44" width="0" style="424" hidden="1" customWidth="1"/>
    <col min="45" max="45" width="11.5703125" style="424" hidden="1" customWidth="1"/>
    <col min="46" max="50" width="0" style="424" hidden="1" customWidth="1"/>
    <col min="51" max="16384" width="8.85546875" style="424"/>
  </cols>
  <sheetData>
    <row r="1" spans="1:45" s="890" customFormat="1" ht="26.25" x14ac:dyDescent="0.4">
      <c r="A1" s="935" t="s">
        <v>37</v>
      </c>
      <c r="B1" s="889"/>
      <c r="J1" s="889"/>
      <c r="K1" s="889"/>
    </row>
    <row r="2" spans="1:45" s="909" customFormat="1" ht="23.25" x14ac:dyDescent="0.35">
      <c r="A2" s="898" t="s">
        <v>276</v>
      </c>
      <c r="B2" s="908"/>
      <c r="J2" s="908"/>
      <c r="K2" s="908"/>
    </row>
    <row r="3" spans="1:45" s="258" customFormat="1" ht="15" x14ac:dyDescent="0.25">
      <c r="B3" s="259"/>
      <c r="J3" s="259"/>
      <c r="K3" s="259"/>
      <c r="AF3" s="1228" t="s">
        <v>586</v>
      </c>
      <c r="AG3" s="1228"/>
      <c r="AH3" s="1228"/>
      <c r="AJ3" s="1229" t="s">
        <v>460</v>
      </c>
      <c r="AK3" s="1230"/>
      <c r="AL3" s="1231"/>
      <c r="AN3" s="1229" t="s">
        <v>492</v>
      </c>
      <c r="AO3" s="1231"/>
      <c r="AQ3" s="1228" t="s">
        <v>586</v>
      </c>
      <c r="AR3" s="1228"/>
      <c r="AS3" s="1228"/>
    </row>
    <row r="4" spans="1:45" s="273" customFormat="1" ht="18.75" x14ac:dyDescent="0.25">
      <c r="B4" s="565" t="s">
        <v>655</v>
      </c>
      <c r="C4" s="247"/>
      <c r="D4" s="247"/>
      <c r="E4" s="247"/>
      <c r="F4" s="261" t="s">
        <v>38</v>
      </c>
      <c r="G4" s="259"/>
      <c r="H4" s="258"/>
      <c r="I4" s="247"/>
      <c r="AF4" s="566" t="s">
        <v>646</v>
      </c>
      <c r="AG4" s="567"/>
      <c r="AH4" s="568"/>
      <c r="AJ4" s="271" t="s">
        <v>461</v>
      </c>
      <c r="AK4" s="393"/>
      <c r="AL4" s="272"/>
      <c r="AN4" s="271" t="s">
        <v>493</v>
      </c>
      <c r="AO4" s="272"/>
      <c r="AQ4" s="566" t="s">
        <v>587</v>
      </c>
      <c r="AR4" s="567"/>
      <c r="AS4" s="568"/>
    </row>
    <row r="5" spans="1:45" s="258" customFormat="1" ht="15" customHeight="1" x14ac:dyDescent="0.25">
      <c r="C5" s="569"/>
      <c r="D5" s="569"/>
      <c r="E5" s="259"/>
      <c r="F5" s="262" t="s">
        <v>160</v>
      </c>
      <c r="G5" s="263"/>
      <c r="H5" s="264"/>
      <c r="I5" s="259"/>
      <c r="AF5" s="271" t="s">
        <v>422</v>
      </c>
      <c r="AG5" s="393"/>
      <c r="AH5" s="272"/>
      <c r="AJ5" s="271" t="s">
        <v>72</v>
      </c>
      <c r="AK5" s="393"/>
      <c r="AL5" s="272"/>
      <c r="AN5" s="271" t="s">
        <v>102</v>
      </c>
      <c r="AO5" s="272"/>
      <c r="AQ5" s="271" t="s">
        <v>422</v>
      </c>
      <c r="AR5" s="393"/>
      <c r="AS5" s="272"/>
    </row>
    <row r="6" spans="1:45" s="258" customFormat="1" ht="15" x14ac:dyDescent="0.25">
      <c r="B6" s="260" t="s">
        <v>56</v>
      </c>
      <c r="C6" s="569"/>
      <c r="D6" s="569"/>
      <c r="F6" s="268" t="s">
        <v>89</v>
      </c>
      <c r="G6" s="269"/>
      <c r="H6" s="270"/>
      <c r="AJ6" s="271" t="s">
        <v>73</v>
      </c>
      <c r="AK6" s="393"/>
      <c r="AL6" s="272"/>
      <c r="AN6" s="271" t="s">
        <v>127</v>
      </c>
      <c r="AO6" s="272"/>
    </row>
    <row r="7" spans="1:45" s="258" customFormat="1" ht="15" customHeight="1" x14ac:dyDescent="0.25">
      <c r="B7" s="1784" t="s">
        <v>714</v>
      </c>
      <c r="C7" s="1784"/>
      <c r="D7" s="1784"/>
      <c r="F7" s="513" t="s">
        <v>86</v>
      </c>
      <c r="G7" s="514"/>
      <c r="H7" s="515"/>
    </row>
    <row r="8" spans="1:45" s="258" customFormat="1" ht="15" x14ac:dyDescent="0.25">
      <c r="B8" s="1784"/>
      <c r="C8" s="1784"/>
      <c r="D8" s="1784"/>
      <c r="F8" s="268" t="s">
        <v>87</v>
      </c>
      <c r="G8" s="516"/>
      <c r="H8" s="438"/>
      <c r="K8" s="247"/>
    </row>
    <row r="9" spans="1:45" s="258" customFormat="1" ht="15" x14ac:dyDescent="0.25">
      <c r="B9" s="1784"/>
      <c r="C9" s="1784"/>
      <c r="D9" s="1784"/>
      <c r="F9" s="267"/>
      <c r="G9" s="254"/>
      <c r="H9" s="267"/>
      <c r="K9" s="247"/>
    </row>
    <row r="10" spans="1:45" s="258" customFormat="1" ht="15" x14ac:dyDescent="0.25">
      <c r="B10" s="570" t="s">
        <v>680</v>
      </c>
      <c r="C10" s="1250"/>
      <c r="D10" s="1250"/>
      <c r="F10" s="267"/>
      <c r="G10" s="254"/>
      <c r="H10" s="571"/>
      <c r="K10" s="247"/>
    </row>
    <row r="11" spans="1:45" s="258" customFormat="1" ht="97.5" customHeight="1" x14ac:dyDescent="0.25">
      <c r="B11" s="1672" t="s">
        <v>875</v>
      </c>
      <c r="C11" s="1672"/>
      <c r="D11" s="1672"/>
      <c r="E11" s="1672"/>
      <c r="F11" s="1672"/>
      <c r="G11" s="1672"/>
      <c r="H11" s="1672"/>
      <c r="I11" s="1672"/>
      <c r="J11" s="1672"/>
      <c r="K11" s="247"/>
    </row>
    <row r="12" spans="1:45" s="258" customFormat="1" ht="15" x14ac:dyDescent="0.25">
      <c r="B12" s="570" t="s">
        <v>677</v>
      </c>
      <c r="C12" s="1257"/>
      <c r="D12" s="1257"/>
      <c r="E12" s="1257"/>
      <c r="F12" s="1257"/>
      <c r="G12" s="1257"/>
      <c r="H12" s="1257"/>
      <c r="I12" s="1257"/>
      <c r="J12" s="1257"/>
      <c r="K12" s="247"/>
    </row>
    <row r="13" spans="1:45" s="258" customFormat="1" ht="52.5" customHeight="1" x14ac:dyDescent="0.25">
      <c r="B13" s="1802" t="s">
        <v>876</v>
      </c>
      <c r="C13" s="1802"/>
      <c r="D13" s="1802"/>
      <c r="E13" s="1802"/>
      <c r="F13" s="1802"/>
      <c r="G13" s="1802"/>
      <c r="H13" s="1802"/>
      <c r="I13" s="1802"/>
      <c r="J13" s="1802"/>
      <c r="K13" s="247"/>
    </row>
    <row r="14" spans="1:45" s="258" customFormat="1" ht="15" x14ac:dyDescent="0.25">
      <c r="B14" s="570" t="s">
        <v>679</v>
      </c>
      <c r="C14" s="1257"/>
      <c r="D14" s="1257"/>
      <c r="E14" s="1257"/>
      <c r="F14" s="1257"/>
      <c r="G14" s="1257"/>
      <c r="H14" s="1257"/>
      <c r="I14" s="1257"/>
      <c r="J14" s="1257"/>
      <c r="K14" s="247"/>
    </row>
    <row r="15" spans="1:45" s="258" customFormat="1" ht="79.5" customHeight="1" x14ac:dyDescent="0.25">
      <c r="B15" s="1802" t="s">
        <v>877</v>
      </c>
      <c r="C15" s="1802"/>
      <c r="D15" s="1802"/>
      <c r="E15" s="1802"/>
      <c r="F15" s="1802"/>
      <c r="G15" s="1802"/>
      <c r="H15" s="1802"/>
      <c r="I15" s="1802"/>
      <c r="J15" s="1802"/>
      <c r="K15" s="247"/>
    </row>
    <row r="16" spans="1:45" s="258" customFormat="1" ht="15" x14ac:dyDescent="0.25">
      <c r="B16" s="244"/>
      <c r="C16" s="247"/>
      <c r="D16" s="247"/>
      <c r="E16" s="247"/>
      <c r="F16" s="247"/>
      <c r="G16" s="247"/>
      <c r="H16" s="247"/>
      <c r="I16" s="247"/>
      <c r="J16" s="259"/>
      <c r="K16" s="259"/>
    </row>
    <row r="17" spans="2:18" s="1032" customFormat="1" ht="15.75" x14ac:dyDescent="0.25">
      <c r="B17" s="1033" t="s">
        <v>277</v>
      </c>
      <c r="C17" s="914"/>
      <c r="D17" s="915"/>
      <c r="E17" s="915"/>
      <c r="F17" s="915"/>
      <c r="G17" s="915"/>
      <c r="H17" s="915"/>
      <c r="I17" s="915"/>
      <c r="J17" s="915"/>
      <c r="K17" s="915"/>
      <c r="L17" s="915"/>
      <c r="M17" s="915"/>
      <c r="N17" s="915"/>
      <c r="O17" s="915"/>
      <c r="Q17" s="1035"/>
    </row>
    <row r="18" spans="2:18" s="406" customFormat="1" ht="15.75" x14ac:dyDescent="0.25">
      <c r="B18" s="517" t="s">
        <v>163</v>
      </c>
      <c r="C18" s="518"/>
      <c r="D18" s="407"/>
      <c r="E18" s="407"/>
      <c r="F18" s="407"/>
      <c r="G18" s="407"/>
      <c r="H18" s="407"/>
      <c r="I18" s="407"/>
      <c r="J18" s="407"/>
      <c r="K18" s="407"/>
      <c r="L18" s="407"/>
      <c r="M18" s="407"/>
      <c r="N18" s="407"/>
      <c r="O18" s="407"/>
      <c r="Q18" s="409"/>
    </row>
    <row r="19" spans="2:18" s="406" customFormat="1" ht="15.75" x14ac:dyDescent="0.25">
      <c r="B19" s="405" t="s">
        <v>225</v>
      </c>
      <c r="C19" s="518"/>
      <c r="D19" s="407"/>
      <c r="E19" s="407"/>
      <c r="F19" s="407"/>
      <c r="G19" s="407"/>
      <c r="H19" s="407"/>
      <c r="I19" s="407"/>
      <c r="J19" s="407"/>
      <c r="K19" s="407"/>
      <c r="L19" s="407"/>
      <c r="M19" s="407"/>
      <c r="N19" s="407"/>
      <c r="O19" s="407"/>
      <c r="Q19" s="409"/>
    </row>
    <row r="20" spans="2:18" s="406" customFormat="1" ht="15.75" x14ac:dyDescent="0.25">
      <c r="B20" s="405" t="s">
        <v>678</v>
      </c>
      <c r="C20" s="518"/>
      <c r="D20" s="407"/>
      <c r="E20" s="407"/>
      <c r="F20" s="407"/>
      <c r="G20" s="407"/>
      <c r="H20" s="407"/>
      <c r="I20" s="407"/>
      <c r="J20" s="407"/>
      <c r="K20" s="407"/>
      <c r="L20" s="407"/>
      <c r="M20" s="407"/>
      <c r="N20" s="407"/>
      <c r="O20" s="407"/>
      <c r="Q20" s="409"/>
    </row>
    <row r="21" spans="2:18" s="406" customFormat="1" ht="16.5" thickBot="1" x14ac:dyDescent="0.3">
      <c r="B21" s="459"/>
      <c r="C21" s="518"/>
      <c r="D21" s="407"/>
      <c r="E21" s="407"/>
      <c r="F21" s="407"/>
      <c r="G21" s="407"/>
      <c r="H21" s="407"/>
      <c r="I21" s="407"/>
      <c r="J21" s="407"/>
      <c r="K21" s="407"/>
      <c r="L21" s="407"/>
      <c r="M21" s="407"/>
      <c r="N21" s="407"/>
      <c r="O21" s="407"/>
      <c r="Q21" s="409"/>
    </row>
    <row r="22" spans="2:18" s="258" customFormat="1" ht="40.5" customHeight="1" thickBot="1" x14ac:dyDescent="0.3">
      <c r="B22" s="244"/>
      <c r="C22" s="1097" t="str">
        <f>'1. Building Information'!$B$53</f>
        <v>SITE: Project Name -- Project Address</v>
      </c>
      <c r="D22" s="1098"/>
      <c r="E22" s="247"/>
      <c r="F22" s="247"/>
      <c r="G22" s="1099" t="s">
        <v>166</v>
      </c>
      <c r="H22" s="1100"/>
      <c r="I22" s="1100"/>
      <c r="J22" s="1100"/>
      <c r="K22" s="1100"/>
      <c r="L22" s="1100"/>
      <c r="M22" s="1100"/>
      <c r="N22" s="1100"/>
      <c r="O22" s="1100"/>
      <c r="P22" s="1100"/>
      <c r="Q22" s="1100"/>
      <c r="R22" s="1101"/>
    </row>
    <row r="23" spans="2:18" s="258" customFormat="1" ht="60" x14ac:dyDescent="0.25">
      <c r="B23" s="1102" t="s">
        <v>242</v>
      </c>
      <c r="C23" s="1103" t="s">
        <v>220</v>
      </c>
      <c r="D23" s="1104" t="s">
        <v>441</v>
      </c>
      <c r="E23" s="1105" t="s">
        <v>221</v>
      </c>
      <c r="F23" s="1106" t="s">
        <v>222</v>
      </c>
      <c r="G23" s="1107" t="s">
        <v>28</v>
      </c>
      <c r="H23" s="1108" t="s">
        <v>29</v>
      </c>
      <c r="I23" s="1108" t="s">
        <v>30</v>
      </c>
      <c r="J23" s="1108" t="s">
        <v>31</v>
      </c>
      <c r="K23" s="1108" t="s">
        <v>32</v>
      </c>
      <c r="L23" s="1108" t="s">
        <v>33</v>
      </c>
      <c r="M23" s="1108" t="s">
        <v>8</v>
      </c>
      <c r="N23" s="1108" t="s">
        <v>9</v>
      </c>
      <c r="O23" s="1108" t="s">
        <v>0</v>
      </c>
      <c r="P23" s="1108" t="s">
        <v>2</v>
      </c>
      <c r="Q23" s="1108" t="s">
        <v>3</v>
      </c>
      <c r="R23" s="1109" t="s">
        <v>4</v>
      </c>
    </row>
    <row r="24" spans="2:18" s="258" customFormat="1" ht="15" x14ac:dyDescent="0.25">
      <c r="B24" s="1110" t="s">
        <v>656</v>
      </c>
      <c r="C24" s="1111"/>
      <c r="D24" s="1111"/>
      <c r="E24" s="1111"/>
      <c r="F24" s="1112"/>
      <c r="G24" s="1111"/>
      <c r="H24" s="1111"/>
      <c r="I24" s="1111"/>
      <c r="J24" s="1111"/>
      <c r="K24" s="1111"/>
      <c r="L24" s="1111"/>
      <c r="M24" s="1111"/>
      <c r="N24" s="1111"/>
      <c r="O24" s="1111"/>
      <c r="P24" s="1111"/>
      <c r="Q24" s="1111"/>
      <c r="R24" s="1113"/>
    </row>
    <row r="25" spans="2:18" s="258" customFormat="1" ht="15" x14ac:dyDescent="0.25">
      <c r="B25" s="579" t="s">
        <v>146</v>
      </c>
      <c r="C25" s="557" t="s">
        <v>73</v>
      </c>
      <c r="D25" s="580">
        <f>IF(C27="Manual Entry",0,IF(C25="Yes",'6. Building Potential Summary'!F18,0))</f>
        <v>0</v>
      </c>
      <c r="E25" s="581">
        <f>F25/365</f>
        <v>0</v>
      </c>
      <c r="F25" s="580">
        <f>SUM(D25)</f>
        <v>0</v>
      </c>
      <c r="G25" s="582">
        <f t="shared" ref="G25:R26" si="0">$F25/12</f>
        <v>0</v>
      </c>
      <c r="H25" s="583">
        <f t="shared" si="0"/>
        <v>0</v>
      </c>
      <c r="I25" s="583">
        <f t="shared" si="0"/>
        <v>0</v>
      </c>
      <c r="J25" s="583">
        <f t="shared" si="0"/>
        <v>0</v>
      </c>
      <c r="K25" s="583">
        <f t="shared" si="0"/>
        <v>0</v>
      </c>
      <c r="L25" s="583">
        <f t="shared" si="0"/>
        <v>0</v>
      </c>
      <c r="M25" s="583">
        <f t="shared" si="0"/>
        <v>0</v>
      </c>
      <c r="N25" s="583">
        <f t="shared" si="0"/>
        <v>0</v>
      </c>
      <c r="O25" s="583">
        <f t="shared" si="0"/>
        <v>0</v>
      </c>
      <c r="P25" s="583">
        <f t="shared" si="0"/>
        <v>0</v>
      </c>
      <c r="Q25" s="583">
        <f t="shared" si="0"/>
        <v>0</v>
      </c>
      <c r="R25" s="580">
        <f t="shared" si="0"/>
        <v>0</v>
      </c>
    </row>
    <row r="26" spans="2:18" s="258" customFormat="1" ht="15" x14ac:dyDescent="0.25">
      <c r="B26" s="584" t="s">
        <v>78</v>
      </c>
      <c r="C26" s="231" t="s">
        <v>73</v>
      </c>
      <c r="D26" s="411">
        <f>IF(C27="Manual Entry",0,IF(C26="Yes",'6. Building Potential Summary'!F19,0))</f>
        <v>0</v>
      </c>
      <c r="E26" s="585">
        <f>F26/365</f>
        <v>0</v>
      </c>
      <c r="F26" s="411">
        <f>SUM(D26)</f>
        <v>0</v>
      </c>
      <c r="G26" s="586">
        <f t="shared" si="0"/>
        <v>0</v>
      </c>
      <c r="H26" s="587">
        <f t="shared" si="0"/>
        <v>0</v>
      </c>
      <c r="I26" s="587">
        <f t="shared" si="0"/>
        <v>0</v>
      </c>
      <c r="J26" s="587">
        <f t="shared" si="0"/>
        <v>0</v>
      </c>
      <c r="K26" s="587">
        <f t="shared" si="0"/>
        <v>0</v>
      </c>
      <c r="L26" s="587">
        <f t="shared" si="0"/>
        <v>0</v>
      </c>
      <c r="M26" s="587">
        <f t="shared" si="0"/>
        <v>0</v>
      </c>
      <c r="N26" s="587">
        <f t="shared" si="0"/>
        <v>0</v>
      </c>
      <c r="O26" s="587">
        <f t="shared" si="0"/>
        <v>0</v>
      </c>
      <c r="P26" s="587">
        <f t="shared" si="0"/>
        <v>0</v>
      </c>
      <c r="Q26" s="587">
        <f t="shared" si="0"/>
        <v>0</v>
      </c>
      <c r="R26" s="411">
        <f t="shared" si="0"/>
        <v>0</v>
      </c>
    </row>
    <row r="27" spans="2:18" s="258" customFormat="1" ht="45.75" thickBot="1" x14ac:dyDescent="0.3">
      <c r="B27" s="588" t="s">
        <v>676</v>
      </c>
      <c r="C27" s="558" t="s">
        <v>646</v>
      </c>
      <c r="D27" s="1639">
        <f>'2. Indoor Water Demand'!L27</f>
        <v>0</v>
      </c>
      <c r="E27" s="589">
        <f>F27/365</f>
        <v>0</v>
      </c>
      <c r="F27" s="590">
        <f>IF(C27="Manual Entry",D27,0)</f>
        <v>0</v>
      </c>
      <c r="G27" s="591">
        <f t="shared" ref="G27:R27" si="1">$F$27/12</f>
        <v>0</v>
      </c>
      <c r="H27" s="592">
        <f t="shared" si="1"/>
        <v>0</v>
      </c>
      <c r="I27" s="592">
        <f t="shared" si="1"/>
        <v>0</v>
      </c>
      <c r="J27" s="592">
        <f t="shared" si="1"/>
        <v>0</v>
      </c>
      <c r="K27" s="592">
        <f t="shared" si="1"/>
        <v>0</v>
      </c>
      <c r="L27" s="592">
        <f t="shared" si="1"/>
        <v>0</v>
      </c>
      <c r="M27" s="592">
        <f t="shared" si="1"/>
        <v>0</v>
      </c>
      <c r="N27" s="592">
        <f t="shared" si="1"/>
        <v>0</v>
      </c>
      <c r="O27" s="592">
        <f t="shared" si="1"/>
        <v>0</v>
      </c>
      <c r="P27" s="592">
        <f t="shared" si="1"/>
        <v>0</v>
      </c>
      <c r="Q27" s="592">
        <f t="shared" si="1"/>
        <v>0</v>
      </c>
      <c r="R27" s="590">
        <f t="shared" si="1"/>
        <v>0</v>
      </c>
    </row>
    <row r="28" spans="2:18" s="258" customFormat="1" ht="16.5" thickTop="1" thickBot="1" x14ac:dyDescent="0.3">
      <c r="B28" s="1114" t="s">
        <v>588</v>
      </c>
      <c r="C28" s="1115"/>
      <c r="D28" s="1116">
        <f>IF(C27="Manual Entry",D27,D25+D26)</f>
        <v>0</v>
      </c>
      <c r="E28" s="1117">
        <f>F28/365</f>
        <v>0</v>
      </c>
      <c r="F28" s="1116">
        <f>SUM(D28)</f>
        <v>0</v>
      </c>
      <c r="G28" s="1118">
        <f t="shared" ref="G28:R28" si="2">$F$28/12</f>
        <v>0</v>
      </c>
      <c r="H28" s="1118">
        <f t="shared" si="2"/>
        <v>0</v>
      </c>
      <c r="I28" s="1118">
        <f t="shared" si="2"/>
        <v>0</v>
      </c>
      <c r="J28" s="1118">
        <f t="shared" si="2"/>
        <v>0</v>
      </c>
      <c r="K28" s="1118">
        <f t="shared" si="2"/>
        <v>0</v>
      </c>
      <c r="L28" s="1118">
        <f t="shared" si="2"/>
        <v>0</v>
      </c>
      <c r="M28" s="1118">
        <f t="shared" si="2"/>
        <v>0</v>
      </c>
      <c r="N28" s="1118">
        <f t="shared" si="2"/>
        <v>0</v>
      </c>
      <c r="O28" s="1118">
        <f t="shared" si="2"/>
        <v>0</v>
      </c>
      <c r="P28" s="1118">
        <f t="shared" si="2"/>
        <v>0</v>
      </c>
      <c r="Q28" s="1118">
        <f t="shared" si="2"/>
        <v>0</v>
      </c>
      <c r="R28" s="1119">
        <f t="shared" si="2"/>
        <v>0</v>
      </c>
    </row>
    <row r="29" spans="2:18" s="258" customFormat="1" ht="15" x14ac:dyDescent="0.25">
      <c r="B29" s="1110" t="s">
        <v>657</v>
      </c>
      <c r="C29" s="1111"/>
      <c r="D29" s="1111"/>
      <c r="E29" s="1111"/>
      <c r="F29" s="1112"/>
      <c r="G29" s="1111"/>
      <c r="H29" s="1111"/>
      <c r="I29" s="1111"/>
      <c r="J29" s="1111"/>
      <c r="K29" s="1111"/>
      <c r="L29" s="1111"/>
      <c r="M29" s="1111"/>
      <c r="N29" s="1111"/>
      <c r="O29" s="1111"/>
      <c r="P29" s="1111"/>
      <c r="Q29" s="1111"/>
      <c r="R29" s="1113"/>
    </row>
    <row r="30" spans="2:18" s="258" customFormat="1" ht="15" x14ac:dyDescent="0.25">
      <c r="B30" s="1640" t="s">
        <v>78</v>
      </c>
      <c r="C30" s="557" t="s">
        <v>73</v>
      </c>
      <c r="D30" s="411">
        <f>IF(C31="Manual Entry",0,IF(C30="Yes",'6. Building Potential Summary'!F28,0))</f>
        <v>0</v>
      </c>
      <c r="E30" s="581">
        <f>F30/365</f>
        <v>0</v>
      </c>
      <c r="F30" s="580">
        <f>SUM(D30)</f>
        <v>0</v>
      </c>
      <c r="G30" s="582">
        <f t="shared" ref="G30:R30" si="3">$F30/12</f>
        <v>0</v>
      </c>
      <c r="H30" s="583">
        <f t="shared" si="3"/>
        <v>0</v>
      </c>
      <c r="I30" s="583">
        <f t="shared" si="3"/>
        <v>0</v>
      </c>
      <c r="J30" s="583">
        <f t="shared" si="3"/>
        <v>0</v>
      </c>
      <c r="K30" s="583">
        <f t="shared" si="3"/>
        <v>0</v>
      </c>
      <c r="L30" s="583">
        <f t="shared" si="3"/>
        <v>0</v>
      </c>
      <c r="M30" s="583">
        <f t="shared" si="3"/>
        <v>0</v>
      </c>
      <c r="N30" s="583">
        <f t="shared" si="3"/>
        <v>0</v>
      </c>
      <c r="O30" s="583">
        <f t="shared" si="3"/>
        <v>0</v>
      </c>
      <c r="P30" s="583">
        <f t="shared" si="3"/>
        <v>0</v>
      </c>
      <c r="Q30" s="583">
        <f t="shared" si="3"/>
        <v>0</v>
      </c>
      <c r="R30" s="580">
        <f t="shared" si="3"/>
        <v>0</v>
      </c>
    </row>
    <row r="31" spans="2:18" s="258" customFormat="1" ht="45.75" thickBot="1" x14ac:dyDescent="0.3">
      <c r="B31" s="588" t="s">
        <v>675</v>
      </c>
      <c r="C31" s="558" t="s">
        <v>646</v>
      </c>
      <c r="D31" s="1639">
        <f>'2. Indoor Water Demand'!F50</f>
        <v>0</v>
      </c>
      <c r="E31" s="589">
        <f>F31/365</f>
        <v>0</v>
      </c>
      <c r="F31" s="590">
        <f>IF(C31="Manual Entry",D31,0)</f>
        <v>0</v>
      </c>
      <c r="G31" s="591">
        <f t="shared" ref="G31:R31" si="4">$F$31/12</f>
        <v>0</v>
      </c>
      <c r="H31" s="591">
        <f t="shared" si="4"/>
        <v>0</v>
      </c>
      <c r="I31" s="591">
        <f t="shared" si="4"/>
        <v>0</v>
      </c>
      <c r="J31" s="591">
        <f t="shared" si="4"/>
        <v>0</v>
      </c>
      <c r="K31" s="591">
        <f t="shared" si="4"/>
        <v>0</v>
      </c>
      <c r="L31" s="591">
        <f t="shared" si="4"/>
        <v>0</v>
      </c>
      <c r="M31" s="591">
        <f t="shared" si="4"/>
        <v>0</v>
      </c>
      <c r="N31" s="591">
        <f t="shared" si="4"/>
        <v>0</v>
      </c>
      <c r="O31" s="591">
        <f t="shared" si="4"/>
        <v>0</v>
      </c>
      <c r="P31" s="591">
        <f t="shared" si="4"/>
        <v>0</v>
      </c>
      <c r="Q31" s="591">
        <f t="shared" si="4"/>
        <v>0</v>
      </c>
      <c r="R31" s="593">
        <f t="shared" si="4"/>
        <v>0</v>
      </c>
    </row>
    <row r="32" spans="2:18" s="258" customFormat="1" ht="31.5" thickTop="1" thickBot="1" x14ac:dyDescent="0.3">
      <c r="B32" s="1120" t="s">
        <v>589</v>
      </c>
      <c r="C32" s="1115"/>
      <c r="D32" s="1116">
        <f>IF(C31="Manual Entry",D31,D30)</f>
        <v>0</v>
      </c>
      <c r="E32" s="1117">
        <f>F32/365</f>
        <v>0</v>
      </c>
      <c r="F32" s="1116">
        <f>SUM(D32)</f>
        <v>0</v>
      </c>
      <c r="G32" s="1118">
        <f t="shared" ref="G32:R32" si="5">$F$32/12</f>
        <v>0</v>
      </c>
      <c r="H32" s="1118">
        <f t="shared" si="5"/>
        <v>0</v>
      </c>
      <c r="I32" s="1118">
        <f t="shared" si="5"/>
        <v>0</v>
      </c>
      <c r="J32" s="1118">
        <f t="shared" si="5"/>
        <v>0</v>
      </c>
      <c r="K32" s="1118">
        <f t="shared" si="5"/>
        <v>0</v>
      </c>
      <c r="L32" s="1118">
        <f t="shared" si="5"/>
        <v>0</v>
      </c>
      <c r="M32" s="1118">
        <f t="shared" si="5"/>
        <v>0</v>
      </c>
      <c r="N32" s="1118">
        <f t="shared" si="5"/>
        <v>0</v>
      </c>
      <c r="O32" s="1118">
        <f t="shared" si="5"/>
        <v>0</v>
      </c>
      <c r="P32" s="1118">
        <f t="shared" si="5"/>
        <v>0</v>
      </c>
      <c r="Q32" s="1118">
        <f t="shared" si="5"/>
        <v>0</v>
      </c>
      <c r="R32" s="1119">
        <f t="shared" si="5"/>
        <v>0</v>
      </c>
    </row>
    <row r="33" spans="2:18" s="258" customFormat="1" ht="15" x14ac:dyDescent="0.25">
      <c r="B33" s="575" t="s">
        <v>658</v>
      </c>
      <c r="C33" s="576"/>
      <c r="D33" s="576"/>
      <c r="E33" s="576"/>
      <c r="F33" s="577"/>
      <c r="G33" s="576"/>
      <c r="H33" s="576"/>
      <c r="I33" s="576"/>
      <c r="J33" s="576"/>
      <c r="K33" s="576"/>
      <c r="L33" s="576"/>
      <c r="M33" s="576"/>
      <c r="N33" s="576"/>
      <c r="O33" s="576"/>
      <c r="P33" s="576"/>
      <c r="Q33" s="576"/>
      <c r="R33" s="578"/>
    </row>
    <row r="34" spans="2:18" s="258" customFormat="1" ht="15.75" thickBot="1" x14ac:dyDescent="0.3">
      <c r="B34" s="579" t="s">
        <v>213</v>
      </c>
      <c r="C34" s="557" t="s">
        <v>73</v>
      </c>
      <c r="D34" s="580">
        <f>IF(C34="Yes",'2. Indoor Water Demand'!E89,0)</f>
        <v>0</v>
      </c>
      <c r="E34" s="581">
        <f>F34/365</f>
        <v>0</v>
      </c>
      <c r="F34" s="580">
        <f>SUM(D34)</f>
        <v>0</v>
      </c>
      <c r="G34" s="582">
        <f>IF($C$34="Yes",'2. Indoor Water Demand'!F89,0)</f>
        <v>0</v>
      </c>
      <c r="H34" s="582">
        <f>IF($C$34="Yes",'2. Indoor Water Demand'!G89,0)</f>
        <v>0</v>
      </c>
      <c r="I34" s="582">
        <f>IF($C$34="Yes",'2. Indoor Water Demand'!H89,0)</f>
        <v>0</v>
      </c>
      <c r="J34" s="582">
        <f>IF($C$34="Yes",'2. Indoor Water Demand'!I89,0)</f>
        <v>0</v>
      </c>
      <c r="K34" s="582">
        <f>IF($C$34="Yes",'2. Indoor Water Demand'!J89,0)</f>
        <v>0</v>
      </c>
      <c r="L34" s="582">
        <f>IF($C$34="Yes",'2. Indoor Water Demand'!K89,0)</f>
        <v>0</v>
      </c>
      <c r="M34" s="582">
        <f>IF($C$34="Yes",'2. Indoor Water Demand'!L89,0)</f>
        <v>0</v>
      </c>
      <c r="N34" s="582">
        <f>IF($C$34="Yes",'2. Indoor Water Demand'!M89,0)</f>
        <v>0</v>
      </c>
      <c r="O34" s="582">
        <f>IF($C$34="Yes",'2. Indoor Water Demand'!N89,0)</f>
        <v>0</v>
      </c>
      <c r="P34" s="582">
        <f>IF($C$34="Yes",'2. Indoor Water Demand'!O89,0)</f>
        <v>0</v>
      </c>
      <c r="Q34" s="582">
        <f>IF($C$34="Yes",'2. Indoor Water Demand'!P89,0)</f>
        <v>0</v>
      </c>
      <c r="R34" s="582">
        <f>IF($C$34="Yes",'2. Indoor Water Demand'!Q89,0)</f>
        <v>0</v>
      </c>
    </row>
    <row r="35" spans="2:18" s="258" customFormat="1" ht="16.5" thickTop="1" thickBot="1" x14ac:dyDescent="0.3">
      <c r="B35" s="1114" t="s">
        <v>590</v>
      </c>
      <c r="C35" s="1115"/>
      <c r="D35" s="1116">
        <f>D34</f>
        <v>0</v>
      </c>
      <c r="E35" s="1117">
        <f>F35/365</f>
        <v>0</v>
      </c>
      <c r="F35" s="1116">
        <f>F34</f>
        <v>0</v>
      </c>
      <c r="G35" s="1118">
        <f>G34</f>
        <v>0</v>
      </c>
      <c r="H35" s="1118">
        <f t="shared" ref="H35:R35" si="6">H34</f>
        <v>0</v>
      </c>
      <c r="I35" s="1118">
        <f t="shared" si="6"/>
        <v>0</v>
      </c>
      <c r="J35" s="1118">
        <f t="shared" si="6"/>
        <v>0</v>
      </c>
      <c r="K35" s="1118">
        <f t="shared" si="6"/>
        <v>0</v>
      </c>
      <c r="L35" s="1118">
        <f t="shared" si="6"/>
        <v>0</v>
      </c>
      <c r="M35" s="1118">
        <f t="shared" si="6"/>
        <v>0</v>
      </c>
      <c r="N35" s="1118">
        <f t="shared" si="6"/>
        <v>0</v>
      </c>
      <c r="O35" s="1118">
        <f t="shared" si="6"/>
        <v>0</v>
      </c>
      <c r="P35" s="1118">
        <f t="shared" si="6"/>
        <v>0</v>
      </c>
      <c r="Q35" s="1118">
        <f t="shared" si="6"/>
        <v>0</v>
      </c>
      <c r="R35" s="1119">
        <f t="shared" si="6"/>
        <v>0</v>
      </c>
    </row>
    <row r="36" spans="2:18" s="258" customFormat="1" ht="15" x14ac:dyDescent="0.25">
      <c r="B36" s="575" t="s">
        <v>659</v>
      </c>
      <c r="C36" s="576"/>
      <c r="D36" s="576"/>
      <c r="E36" s="576"/>
      <c r="F36" s="577"/>
      <c r="G36" s="576"/>
      <c r="H36" s="576"/>
      <c r="I36" s="576"/>
      <c r="J36" s="576"/>
      <c r="K36" s="576"/>
      <c r="L36" s="576"/>
      <c r="M36" s="576"/>
      <c r="N36" s="576"/>
      <c r="O36" s="576"/>
      <c r="P36" s="576"/>
      <c r="Q36" s="576"/>
      <c r="R36" s="578"/>
    </row>
    <row r="37" spans="2:18" s="258" customFormat="1" ht="15" x14ac:dyDescent="0.25">
      <c r="B37" s="584" t="s">
        <v>133</v>
      </c>
      <c r="C37" s="231" t="s">
        <v>73</v>
      </c>
      <c r="D37" s="411">
        <f>IF(C40="Manual Entry",0,IF(C37="Yes",'6. Building Potential Summary'!F36,0))</f>
        <v>0</v>
      </c>
      <c r="E37" s="585">
        <f t="shared" ref="E37:E39" si="7">F37/365</f>
        <v>0</v>
      </c>
      <c r="F37" s="411">
        <f>SUM(D37)</f>
        <v>0</v>
      </c>
      <c r="G37" s="586">
        <f t="shared" ref="G37:R39" si="8">$F37/12</f>
        <v>0</v>
      </c>
      <c r="H37" s="587">
        <f t="shared" si="8"/>
        <v>0</v>
      </c>
      <c r="I37" s="587">
        <f t="shared" si="8"/>
        <v>0</v>
      </c>
      <c r="J37" s="587">
        <f t="shared" si="8"/>
        <v>0</v>
      </c>
      <c r="K37" s="587">
        <f t="shared" si="8"/>
        <v>0</v>
      </c>
      <c r="L37" s="587">
        <f t="shared" si="8"/>
        <v>0</v>
      </c>
      <c r="M37" s="587">
        <f t="shared" si="8"/>
        <v>0</v>
      </c>
      <c r="N37" s="587">
        <f t="shared" si="8"/>
        <v>0</v>
      </c>
      <c r="O37" s="587">
        <f t="shared" si="8"/>
        <v>0</v>
      </c>
      <c r="P37" s="587">
        <f t="shared" si="8"/>
        <v>0</v>
      </c>
      <c r="Q37" s="587">
        <f t="shared" si="8"/>
        <v>0</v>
      </c>
      <c r="R37" s="411">
        <f t="shared" si="8"/>
        <v>0</v>
      </c>
    </row>
    <row r="38" spans="2:18" s="258" customFormat="1" ht="15" x14ac:dyDescent="0.25">
      <c r="B38" s="584" t="s">
        <v>120</v>
      </c>
      <c r="C38" s="231" t="s">
        <v>73</v>
      </c>
      <c r="D38" s="411">
        <f>IF(C40="Manual Entry",0,IF(C38="Yes",'6. Building Potential Summary'!F37,0))</f>
        <v>0</v>
      </c>
      <c r="E38" s="585">
        <f t="shared" si="7"/>
        <v>0</v>
      </c>
      <c r="F38" s="411">
        <f>SUM(D38)</f>
        <v>0</v>
      </c>
      <c r="G38" s="586">
        <f t="shared" si="8"/>
        <v>0</v>
      </c>
      <c r="H38" s="587">
        <f t="shared" si="8"/>
        <v>0</v>
      </c>
      <c r="I38" s="587">
        <f t="shared" si="8"/>
        <v>0</v>
      </c>
      <c r="J38" s="587">
        <f t="shared" si="8"/>
        <v>0</v>
      </c>
      <c r="K38" s="587">
        <f t="shared" si="8"/>
        <v>0</v>
      </c>
      <c r="L38" s="587">
        <f t="shared" si="8"/>
        <v>0</v>
      </c>
      <c r="M38" s="587">
        <f t="shared" si="8"/>
        <v>0</v>
      </c>
      <c r="N38" s="587">
        <f t="shared" si="8"/>
        <v>0</v>
      </c>
      <c r="O38" s="587">
        <f t="shared" si="8"/>
        <v>0</v>
      </c>
      <c r="P38" s="587">
        <f t="shared" si="8"/>
        <v>0</v>
      </c>
      <c r="Q38" s="587">
        <f t="shared" si="8"/>
        <v>0</v>
      </c>
      <c r="R38" s="411">
        <f t="shared" si="8"/>
        <v>0</v>
      </c>
    </row>
    <row r="39" spans="2:18" s="258" customFormat="1" ht="15.75" customHeight="1" x14ac:dyDescent="0.25">
      <c r="B39" s="1641" t="str">
        <f>'2. Indoor Water Demand'!B120</f>
        <v>&lt;Please specify here&gt;</v>
      </c>
      <c r="C39" s="231" t="s">
        <v>73</v>
      </c>
      <c r="D39" s="411">
        <f>IF(C40="Manual Entry",0,IF(C39="Yes",'6. Building Potential Summary'!F38,0))</f>
        <v>0</v>
      </c>
      <c r="E39" s="585">
        <f t="shared" si="7"/>
        <v>0</v>
      </c>
      <c r="F39" s="411">
        <f>SUM(D39)</f>
        <v>0</v>
      </c>
      <c r="G39" s="586">
        <f t="shared" si="8"/>
        <v>0</v>
      </c>
      <c r="H39" s="587">
        <f t="shared" si="8"/>
        <v>0</v>
      </c>
      <c r="I39" s="587">
        <f t="shared" si="8"/>
        <v>0</v>
      </c>
      <c r="J39" s="587">
        <f t="shared" si="8"/>
        <v>0</v>
      </c>
      <c r="K39" s="587">
        <f t="shared" si="8"/>
        <v>0</v>
      </c>
      <c r="L39" s="587">
        <f t="shared" si="8"/>
        <v>0</v>
      </c>
      <c r="M39" s="587">
        <f t="shared" si="8"/>
        <v>0</v>
      </c>
      <c r="N39" s="587">
        <f t="shared" si="8"/>
        <v>0</v>
      </c>
      <c r="O39" s="587">
        <f t="shared" si="8"/>
        <v>0</v>
      </c>
      <c r="P39" s="587">
        <f t="shared" si="8"/>
        <v>0</v>
      </c>
      <c r="Q39" s="587">
        <f t="shared" si="8"/>
        <v>0</v>
      </c>
      <c r="R39" s="411">
        <f t="shared" si="8"/>
        <v>0</v>
      </c>
    </row>
    <row r="40" spans="2:18" s="258" customFormat="1" ht="48" customHeight="1" thickBot="1" x14ac:dyDescent="0.3">
      <c r="B40" s="588" t="s">
        <v>674</v>
      </c>
      <c r="C40" s="558" t="s">
        <v>422</v>
      </c>
      <c r="D40" s="1639">
        <f>'2. Indoor Water Demand'!C124</f>
        <v>0</v>
      </c>
      <c r="E40" s="589">
        <f>F40/365</f>
        <v>0</v>
      </c>
      <c r="F40" s="590">
        <f>IF(C40="Manual Entry",D40,0)</f>
        <v>0</v>
      </c>
      <c r="G40" s="591">
        <f t="shared" ref="G40:R40" si="9">$F$40/12</f>
        <v>0</v>
      </c>
      <c r="H40" s="591">
        <f t="shared" si="9"/>
        <v>0</v>
      </c>
      <c r="I40" s="591">
        <f t="shared" si="9"/>
        <v>0</v>
      </c>
      <c r="J40" s="591">
        <f t="shared" si="9"/>
        <v>0</v>
      </c>
      <c r="K40" s="591">
        <f t="shared" si="9"/>
        <v>0</v>
      </c>
      <c r="L40" s="591">
        <f t="shared" si="9"/>
        <v>0</v>
      </c>
      <c r="M40" s="591">
        <f t="shared" si="9"/>
        <v>0</v>
      </c>
      <c r="N40" s="591">
        <f t="shared" si="9"/>
        <v>0</v>
      </c>
      <c r="O40" s="591">
        <f t="shared" si="9"/>
        <v>0</v>
      </c>
      <c r="P40" s="591">
        <f t="shared" si="9"/>
        <v>0</v>
      </c>
      <c r="Q40" s="591">
        <f t="shared" si="9"/>
        <v>0</v>
      </c>
      <c r="R40" s="593">
        <f t="shared" si="9"/>
        <v>0</v>
      </c>
    </row>
    <row r="41" spans="2:18" s="258" customFormat="1" ht="16.5" thickTop="1" thickBot="1" x14ac:dyDescent="0.3">
      <c r="B41" s="1114" t="s">
        <v>602</v>
      </c>
      <c r="C41" s="1115"/>
      <c r="D41" s="1116">
        <f>IF(C40="Manual Entry",D40,SUM(D37:D39))</f>
        <v>0</v>
      </c>
      <c r="E41" s="1117">
        <f>F41/365</f>
        <v>0</v>
      </c>
      <c r="F41" s="1116">
        <f>SUM(D41)</f>
        <v>0</v>
      </c>
      <c r="G41" s="1118">
        <f>SUM(G37:G40)</f>
        <v>0</v>
      </c>
      <c r="H41" s="1118">
        <f t="shared" ref="H41:R41" si="10">SUM(H37:H40)</f>
        <v>0</v>
      </c>
      <c r="I41" s="1118">
        <f t="shared" si="10"/>
        <v>0</v>
      </c>
      <c r="J41" s="1118">
        <f t="shared" si="10"/>
        <v>0</v>
      </c>
      <c r="K41" s="1118">
        <f t="shared" si="10"/>
        <v>0</v>
      </c>
      <c r="L41" s="1118">
        <f t="shared" si="10"/>
        <v>0</v>
      </c>
      <c r="M41" s="1118">
        <f t="shared" si="10"/>
        <v>0</v>
      </c>
      <c r="N41" s="1118">
        <f t="shared" si="10"/>
        <v>0</v>
      </c>
      <c r="O41" s="1118">
        <f t="shared" si="10"/>
        <v>0</v>
      </c>
      <c r="P41" s="1118">
        <f t="shared" si="10"/>
        <v>0</v>
      </c>
      <c r="Q41" s="1118">
        <f t="shared" si="10"/>
        <v>0</v>
      </c>
      <c r="R41" s="1119">
        <f t="shared" si="10"/>
        <v>0</v>
      </c>
    </row>
    <row r="42" spans="2:18" s="258" customFormat="1" ht="16.5" thickTop="1" thickBot="1" x14ac:dyDescent="0.3">
      <c r="B42" s="1121" t="s">
        <v>244</v>
      </c>
      <c r="C42" s="1122"/>
      <c r="D42" s="1116">
        <f>SUM(D28,D32,D35,D41)</f>
        <v>0</v>
      </c>
      <c r="E42" s="1117">
        <f>SUM(E28,E32,E35,E37:E40)</f>
        <v>0</v>
      </c>
      <c r="F42" s="1116">
        <f>SUM(F28,F32,F35,F37:F40)</f>
        <v>0</v>
      </c>
      <c r="G42" s="1118">
        <f t="shared" ref="G42:R42" si="11">SUM(G28,G32,G35,G41)</f>
        <v>0</v>
      </c>
      <c r="H42" s="1118">
        <f t="shared" si="11"/>
        <v>0</v>
      </c>
      <c r="I42" s="1118">
        <f t="shared" si="11"/>
        <v>0</v>
      </c>
      <c r="J42" s="1118">
        <f t="shared" si="11"/>
        <v>0</v>
      </c>
      <c r="K42" s="1118">
        <f t="shared" si="11"/>
        <v>0</v>
      </c>
      <c r="L42" s="1118">
        <f t="shared" si="11"/>
        <v>0</v>
      </c>
      <c r="M42" s="1118">
        <f t="shared" si="11"/>
        <v>0</v>
      </c>
      <c r="N42" s="1118">
        <f t="shared" si="11"/>
        <v>0</v>
      </c>
      <c r="O42" s="1118">
        <f t="shared" si="11"/>
        <v>0</v>
      </c>
      <c r="P42" s="1118">
        <f t="shared" si="11"/>
        <v>0</v>
      </c>
      <c r="Q42" s="1118">
        <f t="shared" si="11"/>
        <v>0</v>
      </c>
      <c r="R42" s="1119">
        <f t="shared" si="11"/>
        <v>0</v>
      </c>
    </row>
    <row r="43" spans="2:18" s="258" customFormat="1" ht="12" customHeight="1" thickBot="1" x14ac:dyDescent="0.3">
      <c r="B43" s="244"/>
      <c r="C43" s="247"/>
      <c r="D43" s="247"/>
      <c r="E43" s="247"/>
      <c r="F43" s="259"/>
      <c r="G43" s="259"/>
    </row>
    <row r="44" spans="2:18" s="258" customFormat="1" ht="15" x14ac:dyDescent="0.25">
      <c r="B44" s="1123" t="s">
        <v>243</v>
      </c>
      <c r="C44" s="1124"/>
      <c r="D44" s="1125"/>
      <c r="E44" s="1125"/>
      <c r="F44" s="1125"/>
      <c r="G44" s="1125"/>
      <c r="H44" s="1125"/>
      <c r="I44" s="1125"/>
      <c r="J44" s="1125"/>
      <c r="K44" s="1125"/>
      <c r="L44" s="1125"/>
      <c r="M44" s="1125"/>
      <c r="N44" s="1125"/>
      <c r="O44" s="1125"/>
      <c r="P44" s="1125"/>
      <c r="Q44" s="1125"/>
      <c r="R44" s="1126"/>
    </row>
    <row r="45" spans="2:18" s="258" customFormat="1" ht="15" x14ac:dyDescent="0.25">
      <c r="B45" s="1110" t="s">
        <v>660</v>
      </c>
      <c r="C45" s="1111"/>
      <c r="D45" s="1111"/>
      <c r="E45" s="1111"/>
      <c r="F45" s="1112"/>
      <c r="G45" s="1111"/>
      <c r="H45" s="1111"/>
      <c r="I45" s="1111"/>
      <c r="J45" s="1111"/>
      <c r="K45" s="1111"/>
      <c r="L45" s="1111"/>
      <c r="M45" s="1111"/>
      <c r="N45" s="1111"/>
      <c r="O45" s="1111"/>
      <c r="P45" s="1111"/>
      <c r="Q45" s="1111"/>
      <c r="R45" s="1113"/>
    </row>
    <row r="46" spans="2:18" s="258" customFormat="1" ht="15" x14ac:dyDescent="0.25">
      <c r="B46" s="584" t="s">
        <v>241</v>
      </c>
      <c r="C46" s="231" t="s">
        <v>73</v>
      </c>
      <c r="D46" s="411">
        <f>IF(C47="Manual Entry",0,IF(C46="Yes",'6. Building Potential Summary'!F41,0))</f>
        <v>0</v>
      </c>
      <c r="E46" s="585">
        <f>IF($C$46="Yes",'6. Building Potential Summary'!C41,0)</f>
        <v>0</v>
      </c>
      <c r="F46" s="411">
        <f>SUM(D46)</f>
        <v>0</v>
      </c>
      <c r="G46" s="586">
        <f>IF($D$46=0,0,'4. Outdoor Water Demand'!C91)</f>
        <v>0</v>
      </c>
      <c r="H46" s="586">
        <f>IF($D$46=0,0,'4. Outdoor Water Demand'!D91)</f>
        <v>0</v>
      </c>
      <c r="I46" s="586">
        <f>IF($D$46=0,0,'4. Outdoor Water Demand'!E91)</f>
        <v>0</v>
      </c>
      <c r="J46" s="586">
        <f>IF($D$46=0,0,'4. Outdoor Water Demand'!F91)</f>
        <v>0</v>
      </c>
      <c r="K46" s="586">
        <f>IF($D$46=0,0,'4. Outdoor Water Demand'!G91)</f>
        <v>0</v>
      </c>
      <c r="L46" s="586">
        <f>IF($D$46=0,0,'4. Outdoor Water Demand'!H91)</f>
        <v>0</v>
      </c>
      <c r="M46" s="586">
        <f>IF($D$46=0,0,'4. Outdoor Water Demand'!I91)</f>
        <v>0</v>
      </c>
      <c r="N46" s="586">
        <f>IF($D$46=0,0,'4. Outdoor Water Demand'!J91)</f>
        <v>0</v>
      </c>
      <c r="O46" s="586">
        <f>IF($D$46=0,0,'4. Outdoor Water Demand'!K91)</f>
        <v>0</v>
      </c>
      <c r="P46" s="586">
        <f>IF($D$46=0,0,'4. Outdoor Water Demand'!L91)</f>
        <v>0</v>
      </c>
      <c r="Q46" s="586">
        <f>IF($D$46=0,0,'4. Outdoor Water Demand'!M91)</f>
        <v>0</v>
      </c>
      <c r="R46" s="586">
        <f>IF($D$46=0,0,'4. Outdoor Water Demand'!N91)</f>
        <v>0</v>
      </c>
    </row>
    <row r="47" spans="2:18" s="258" customFormat="1" ht="45.75" thickBot="1" x14ac:dyDescent="0.3">
      <c r="B47" s="588" t="s">
        <v>673</v>
      </c>
      <c r="C47" s="558" t="s">
        <v>646</v>
      </c>
      <c r="D47" s="1639">
        <f>IF(C47="Manual Entry",SUM('4. Outdoor Water Demand'!J42:J53),0)</f>
        <v>0</v>
      </c>
      <c r="E47" s="589">
        <f>F47/365</f>
        <v>0</v>
      </c>
      <c r="F47" s="590">
        <f>IF(C47="Manual Entry",D47,0)</f>
        <v>0</v>
      </c>
      <c r="G47" s="591">
        <f>IF($C$47="Manual Entry",'4. Outdoor Water Demand'!C99,0)</f>
        <v>0</v>
      </c>
      <c r="H47" s="591">
        <f>IF($C$47="Manual Entry",'4. Outdoor Water Demand'!D99,0)</f>
        <v>0</v>
      </c>
      <c r="I47" s="591">
        <f>IF($C$47="Manual Entry",'4. Outdoor Water Demand'!E99,0)</f>
        <v>0</v>
      </c>
      <c r="J47" s="591">
        <f>IF($C$47="Manual Entry",'4. Outdoor Water Demand'!F99,0)</f>
        <v>0</v>
      </c>
      <c r="K47" s="591">
        <f>IF($C$47="Manual Entry",'4. Outdoor Water Demand'!G99,0)</f>
        <v>0</v>
      </c>
      <c r="L47" s="591">
        <f>IF($C$47="Manual Entry",'4. Outdoor Water Demand'!H99,0)</f>
        <v>0</v>
      </c>
      <c r="M47" s="591">
        <f>IF($C$47="Manual Entry",'4. Outdoor Water Demand'!I99,0)</f>
        <v>0</v>
      </c>
      <c r="N47" s="591">
        <f>IF($C$47="Manual Entry",'4. Outdoor Water Demand'!J99,0)</f>
        <v>0</v>
      </c>
      <c r="O47" s="591">
        <f>IF($C$47="Manual Entry",'4. Outdoor Water Demand'!K99,0)</f>
        <v>0</v>
      </c>
      <c r="P47" s="591">
        <f>IF($C$47="Manual Entry",'4. Outdoor Water Demand'!L99,0)</f>
        <v>0</v>
      </c>
      <c r="Q47" s="591">
        <f>IF($C$47="Manual Entry",'4. Outdoor Water Demand'!M99,0)</f>
        <v>0</v>
      </c>
      <c r="R47" s="591">
        <f>IF($C$47="Manual Entry",'4. Outdoor Water Demand'!N99,0)</f>
        <v>0</v>
      </c>
    </row>
    <row r="48" spans="2:18" s="258" customFormat="1" ht="16.5" thickTop="1" thickBot="1" x14ac:dyDescent="0.3">
      <c r="B48" s="1114" t="s">
        <v>600</v>
      </c>
      <c r="C48" s="1115"/>
      <c r="D48" s="1116">
        <f>SUM(D46:D47)</f>
        <v>0</v>
      </c>
      <c r="E48" s="1117">
        <f>F48/365</f>
        <v>0</v>
      </c>
      <c r="F48" s="1116">
        <f>SUM(D48)</f>
        <v>0</v>
      </c>
      <c r="G48" s="1118">
        <f>G46+G47</f>
        <v>0</v>
      </c>
      <c r="H48" s="1118">
        <f t="shared" ref="H48:R48" si="12">H46+H47</f>
        <v>0</v>
      </c>
      <c r="I48" s="1118">
        <f t="shared" si="12"/>
        <v>0</v>
      </c>
      <c r="J48" s="1118">
        <f t="shared" si="12"/>
        <v>0</v>
      </c>
      <c r="K48" s="1118">
        <f t="shared" si="12"/>
        <v>0</v>
      </c>
      <c r="L48" s="1118">
        <f t="shared" si="12"/>
        <v>0</v>
      </c>
      <c r="M48" s="1118">
        <f t="shared" si="12"/>
        <v>0</v>
      </c>
      <c r="N48" s="1118">
        <f t="shared" si="12"/>
        <v>0</v>
      </c>
      <c r="O48" s="1118">
        <f t="shared" si="12"/>
        <v>0</v>
      </c>
      <c r="P48" s="1118">
        <f t="shared" si="12"/>
        <v>0</v>
      </c>
      <c r="Q48" s="1118">
        <f t="shared" si="12"/>
        <v>0</v>
      </c>
      <c r="R48" s="1119">
        <f t="shared" si="12"/>
        <v>0</v>
      </c>
    </row>
    <row r="49" spans="2:18" s="258" customFormat="1" ht="15" x14ac:dyDescent="0.25">
      <c r="B49" s="1110" t="s">
        <v>661</v>
      </c>
      <c r="C49" s="1111"/>
      <c r="D49" s="1111"/>
      <c r="E49" s="1111"/>
      <c r="F49" s="1112"/>
      <c r="G49" s="1111"/>
      <c r="H49" s="1111"/>
      <c r="I49" s="1111"/>
      <c r="J49" s="1111"/>
      <c r="K49" s="1111"/>
      <c r="L49" s="1111"/>
      <c r="M49" s="1111"/>
      <c r="N49" s="1111"/>
      <c r="O49" s="1111"/>
      <c r="P49" s="1111"/>
      <c r="Q49" s="1111"/>
      <c r="R49" s="1113"/>
    </row>
    <row r="50" spans="2:18" s="258" customFormat="1" ht="15" x14ac:dyDescent="0.25">
      <c r="B50" s="579" t="str">
        <f>'4. Outdoor Water Demand'!B64</f>
        <v>Washing of sidewalks, street or buildings</v>
      </c>
      <c r="C50" s="557" t="s">
        <v>73</v>
      </c>
      <c r="D50" s="580">
        <f>IF(C52="Manual Entry",0,IF(C50="Yes",'6. Building Potential Summary'!F42,0))</f>
        <v>0</v>
      </c>
      <c r="E50" s="581">
        <f t="shared" ref="E50:E51" si="13">F50/365</f>
        <v>0</v>
      </c>
      <c r="F50" s="580">
        <f>SUM(D50)</f>
        <v>0</v>
      </c>
      <c r="G50" s="582">
        <f t="shared" ref="G50:R50" si="14">$F$50/12</f>
        <v>0</v>
      </c>
      <c r="H50" s="583">
        <f t="shared" si="14"/>
        <v>0</v>
      </c>
      <c r="I50" s="583">
        <f t="shared" si="14"/>
        <v>0</v>
      </c>
      <c r="J50" s="583">
        <f t="shared" si="14"/>
        <v>0</v>
      </c>
      <c r="K50" s="583">
        <f t="shared" si="14"/>
        <v>0</v>
      </c>
      <c r="L50" s="583">
        <f t="shared" si="14"/>
        <v>0</v>
      </c>
      <c r="M50" s="583">
        <f t="shared" si="14"/>
        <v>0</v>
      </c>
      <c r="N50" s="583">
        <f t="shared" si="14"/>
        <v>0</v>
      </c>
      <c r="O50" s="583">
        <f t="shared" si="14"/>
        <v>0</v>
      </c>
      <c r="P50" s="583">
        <f t="shared" si="14"/>
        <v>0</v>
      </c>
      <c r="Q50" s="583">
        <f t="shared" si="14"/>
        <v>0</v>
      </c>
      <c r="R50" s="580">
        <f t="shared" si="14"/>
        <v>0</v>
      </c>
    </row>
    <row r="51" spans="2:18" s="258" customFormat="1" ht="15" x14ac:dyDescent="0.25">
      <c r="B51" s="1642" t="str">
        <f>'4. Outdoor Water Demand'!B69</f>
        <v>&lt;enter description here&gt;</v>
      </c>
      <c r="C51" s="231" t="s">
        <v>73</v>
      </c>
      <c r="D51" s="411">
        <f>IF(C52="Manual Entry",0,IF(C51="Yes",'6. Building Potential Summary'!F43,0))</f>
        <v>0</v>
      </c>
      <c r="E51" s="585">
        <f t="shared" si="13"/>
        <v>0</v>
      </c>
      <c r="F51" s="411">
        <f>SUM(D51)</f>
        <v>0</v>
      </c>
      <c r="G51" s="586">
        <f t="shared" ref="G51:R51" si="15">$F$51/12</f>
        <v>0</v>
      </c>
      <c r="H51" s="587">
        <f t="shared" si="15"/>
        <v>0</v>
      </c>
      <c r="I51" s="587">
        <f t="shared" si="15"/>
        <v>0</v>
      </c>
      <c r="J51" s="587">
        <f t="shared" si="15"/>
        <v>0</v>
      </c>
      <c r="K51" s="587">
        <f t="shared" si="15"/>
        <v>0</v>
      </c>
      <c r="L51" s="587">
        <f t="shared" si="15"/>
        <v>0</v>
      </c>
      <c r="M51" s="587">
        <f t="shared" si="15"/>
        <v>0</v>
      </c>
      <c r="N51" s="587">
        <f t="shared" si="15"/>
        <v>0</v>
      </c>
      <c r="O51" s="587">
        <f t="shared" si="15"/>
        <v>0</v>
      </c>
      <c r="P51" s="587">
        <f t="shared" si="15"/>
        <v>0</v>
      </c>
      <c r="Q51" s="587">
        <f t="shared" si="15"/>
        <v>0</v>
      </c>
      <c r="R51" s="411">
        <f t="shared" si="15"/>
        <v>0</v>
      </c>
    </row>
    <row r="52" spans="2:18" s="258" customFormat="1" ht="45.75" thickBot="1" x14ac:dyDescent="0.3">
      <c r="B52" s="588" t="s">
        <v>672</v>
      </c>
      <c r="C52" s="558" t="s">
        <v>646</v>
      </c>
      <c r="D52" s="1639">
        <f>'4. Outdoor Water Demand'!D75</f>
        <v>0</v>
      </c>
      <c r="E52" s="589">
        <f>F52/365</f>
        <v>0</v>
      </c>
      <c r="F52" s="590">
        <f>IF(C52="Manual Entry",D52,0)</f>
        <v>0</v>
      </c>
      <c r="G52" s="591">
        <f t="shared" ref="G52:R52" si="16">$F$52/12</f>
        <v>0</v>
      </c>
      <c r="H52" s="591">
        <f t="shared" si="16"/>
        <v>0</v>
      </c>
      <c r="I52" s="591">
        <f t="shared" si="16"/>
        <v>0</v>
      </c>
      <c r="J52" s="591">
        <f t="shared" si="16"/>
        <v>0</v>
      </c>
      <c r="K52" s="591">
        <f t="shared" si="16"/>
        <v>0</v>
      </c>
      <c r="L52" s="591">
        <f t="shared" si="16"/>
        <v>0</v>
      </c>
      <c r="M52" s="591">
        <f t="shared" si="16"/>
        <v>0</v>
      </c>
      <c r="N52" s="591">
        <f t="shared" si="16"/>
        <v>0</v>
      </c>
      <c r="O52" s="591">
        <f t="shared" si="16"/>
        <v>0</v>
      </c>
      <c r="P52" s="591">
        <f t="shared" si="16"/>
        <v>0</v>
      </c>
      <c r="Q52" s="591">
        <f t="shared" si="16"/>
        <v>0</v>
      </c>
      <c r="R52" s="593">
        <f t="shared" si="16"/>
        <v>0</v>
      </c>
    </row>
    <row r="53" spans="2:18" s="258" customFormat="1" ht="16.5" thickTop="1" thickBot="1" x14ac:dyDescent="0.3">
      <c r="B53" s="1114" t="s">
        <v>601</v>
      </c>
      <c r="C53" s="1115"/>
      <c r="D53" s="1116">
        <f>IF(C52="Manual Entry",D52,SUM(D50:D51))</f>
        <v>0</v>
      </c>
      <c r="E53" s="1117">
        <f>F53/365</f>
        <v>0</v>
      </c>
      <c r="F53" s="1116">
        <f>SUM(D53)</f>
        <v>0</v>
      </c>
      <c r="G53" s="1118">
        <f>SUM(G50:G52)</f>
        <v>0</v>
      </c>
      <c r="H53" s="1118">
        <f t="shared" ref="H53:R53" si="17">SUM(H50:H52)</f>
        <v>0</v>
      </c>
      <c r="I53" s="1118">
        <f t="shared" si="17"/>
        <v>0</v>
      </c>
      <c r="J53" s="1118">
        <f t="shared" si="17"/>
        <v>0</v>
      </c>
      <c r="K53" s="1118">
        <f t="shared" si="17"/>
        <v>0</v>
      </c>
      <c r="L53" s="1118">
        <f t="shared" si="17"/>
        <v>0</v>
      </c>
      <c r="M53" s="1118">
        <f t="shared" si="17"/>
        <v>0</v>
      </c>
      <c r="N53" s="1118">
        <f t="shared" si="17"/>
        <v>0</v>
      </c>
      <c r="O53" s="1118">
        <f t="shared" si="17"/>
        <v>0</v>
      </c>
      <c r="P53" s="1118">
        <f t="shared" si="17"/>
        <v>0</v>
      </c>
      <c r="Q53" s="1118">
        <f t="shared" si="17"/>
        <v>0</v>
      </c>
      <c r="R53" s="1119">
        <f t="shared" si="17"/>
        <v>0</v>
      </c>
    </row>
    <row r="54" spans="2:18" s="258" customFormat="1" ht="15.75" thickBot="1" x14ac:dyDescent="0.3">
      <c r="B54" s="1127" t="s">
        <v>245</v>
      </c>
      <c r="C54" s="1128"/>
      <c r="D54" s="1129">
        <f>SUM(D48,D53)</f>
        <v>0</v>
      </c>
      <c r="E54" s="1130">
        <f>SUM(E48,E53)</f>
        <v>0</v>
      </c>
      <c r="F54" s="1129">
        <f>SUM(F48,F53)</f>
        <v>0</v>
      </c>
      <c r="G54" s="1131">
        <f>SUM(G48,G53)</f>
        <v>0</v>
      </c>
      <c r="H54" s="1131">
        <f t="shared" ref="H54:R54" si="18">SUM(H48,H53)</f>
        <v>0</v>
      </c>
      <c r="I54" s="1131">
        <f t="shared" si="18"/>
        <v>0</v>
      </c>
      <c r="J54" s="1131">
        <f t="shared" si="18"/>
        <v>0</v>
      </c>
      <c r="K54" s="1131">
        <f t="shared" si="18"/>
        <v>0</v>
      </c>
      <c r="L54" s="1131">
        <f t="shared" si="18"/>
        <v>0</v>
      </c>
      <c r="M54" s="1131">
        <f t="shared" si="18"/>
        <v>0</v>
      </c>
      <c r="N54" s="1131">
        <f t="shared" si="18"/>
        <v>0</v>
      </c>
      <c r="O54" s="1131">
        <f t="shared" si="18"/>
        <v>0</v>
      </c>
      <c r="P54" s="1131">
        <f t="shared" si="18"/>
        <v>0</v>
      </c>
      <c r="Q54" s="1131">
        <f t="shared" si="18"/>
        <v>0</v>
      </c>
      <c r="R54" s="1132">
        <f t="shared" si="18"/>
        <v>0</v>
      </c>
    </row>
    <row r="55" spans="2:18" s="258" customFormat="1" ht="15.75" thickTop="1" x14ac:dyDescent="0.25">
      <c r="B55" s="1133"/>
      <c r="C55" s="1134"/>
      <c r="D55" s="1135"/>
      <c r="E55" s="1136"/>
      <c r="F55" s="1135"/>
      <c r="G55" s="1137"/>
      <c r="H55" s="1138"/>
      <c r="I55" s="1138"/>
      <c r="J55" s="1138"/>
      <c r="K55" s="1138"/>
      <c r="L55" s="1138"/>
      <c r="M55" s="1138"/>
      <c r="N55" s="1138"/>
      <c r="O55" s="1138"/>
      <c r="P55" s="1138"/>
      <c r="Q55" s="1138"/>
      <c r="R55" s="1135"/>
    </row>
    <row r="56" spans="2:18" s="258" customFormat="1" ht="15.75" thickBot="1" x14ac:dyDescent="0.3">
      <c r="B56" s="1139" t="s">
        <v>615</v>
      </c>
      <c r="C56" s="1140"/>
      <c r="D56" s="1141">
        <f>ROUNDUP(D42+D54,-2)</f>
        <v>0</v>
      </c>
      <c r="E56" s="1142">
        <f>E42+E54</f>
        <v>0</v>
      </c>
      <c r="F56" s="1141">
        <f>ROUNDUP(F42+F54,-2)</f>
        <v>0</v>
      </c>
      <c r="G56" s="1143">
        <f>ROUNDUP(G42+G54,-2)</f>
        <v>0</v>
      </c>
      <c r="H56" s="1144">
        <f t="shared" ref="H56:R56" si="19">ROUNDUP(H42+H54,-2)</f>
        <v>0</v>
      </c>
      <c r="I56" s="1144">
        <f t="shared" si="19"/>
        <v>0</v>
      </c>
      <c r="J56" s="1144">
        <f t="shared" si="19"/>
        <v>0</v>
      </c>
      <c r="K56" s="1144">
        <f t="shared" si="19"/>
        <v>0</v>
      </c>
      <c r="L56" s="1144">
        <f t="shared" si="19"/>
        <v>0</v>
      </c>
      <c r="M56" s="1144">
        <f t="shared" si="19"/>
        <v>0</v>
      </c>
      <c r="N56" s="1144">
        <f t="shared" si="19"/>
        <v>0</v>
      </c>
      <c r="O56" s="1144">
        <f t="shared" si="19"/>
        <v>0</v>
      </c>
      <c r="P56" s="1144">
        <f t="shared" si="19"/>
        <v>0</v>
      </c>
      <c r="Q56" s="1144">
        <f t="shared" si="19"/>
        <v>0</v>
      </c>
      <c r="R56" s="1141">
        <f t="shared" si="19"/>
        <v>0</v>
      </c>
    </row>
    <row r="57" spans="2:18" s="258" customFormat="1" ht="15" x14ac:dyDescent="0.25">
      <c r="B57" s="594"/>
      <c r="C57" s="422"/>
      <c r="D57" s="595"/>
      <c r="E57" s="595"/>
      <c r="F57" s="595"/>
      <c r="G57" s="595"/>
      <c r="H57" s="595"/>
      <c r="I57" s="595"/>
      <c r="J57" s="595"/>
      <c r="K57" s="595"/>
      <c r="L57" s="595"/>
      <c r="M57" s="595"/>
      <c r="N57" s="595"/>
      <c r="O57" s="595"/>
      <c r="P57" s="595"/>
      <c r="Q57" s="595"/>
    </row>
    <row r="58" spans="2:18" s="258" customFormat="1" ht="15" x14ac:dyDescent="0.25">
      <c r="B58" s="244"/>
      <c r="C58" s="247"/>
      <c r="D58" s="247"/>
      <c r="E58" s="247"/>
      <c r="F58" s="247"/>
      <c r="G58" s="247"/>
      <c r="H58" s="247"/>
      <c r="I58" s="247"/>
      <c r="J58" s="259"/>
      <c r="K58" s="259"/>
    </row>
    <row r="59" spans="2:18" s="1032" customFormat="1" ht="15.75" x14ac:dyDescent="0.25">
      <c r="B59" s="1033" t="s">
        <v>278</v>
      </c>
      <c r="C59" s="914"/>
      <c r="D59" s="915"/>
      <c r="E59" s="915"/>
      <c r="F59" s="915"/>
      <c r="G59" s="915"/>
      <c r="H59" s="915"/>
      <c r="I59" s="915"/>
      <c r="J59" s="915"/>
      <c r="K59" s="915"/>
      <c r="L59" s="915"/>
      <c r="M59" s="915"/>
      <c r="N59" s="915"/>
      <c r="O59" s="915"/>
      <c r="Q59" s="1035"/>
    </row>
    <row r="60" spans="2:18" s="406" customFormat="1" ht="15.75" x14ac:dyDescent="0.25">
      <c r="B60" s="517" t="s">
        <v>163</v>
      </c>
      <c r="C60" s="518"/>
      <c r="D60" s="407"/>
      <c r="E60" s="407"/>
      <c r="F60" s="407"/>
      <c r="G60" s="407"/>
      <c r="H60" s="407"/>
      <c r="I60" s="407"/>
      <c r="J60" s="407"/>
      <c r="K60" s="407"/>
      <c r="L60" s="407"/>
      <c r="M60" s="407"/>
      <c r="N60" s="407"/>
      <c r="O60" s="407"/>
      <c r="Q60" s="409"/>
    </row>
    <row r="61" spans="2:18" s="406" customFormat="1" ht="15.75" customHeight="1" x14ac:dyDescent="0.25">
      <c r="B61" s="596" t="s">
        <v>251</v>
      </c>
      <c r="C61" s="597"/>
      <c r="D61" s="597"/>
      <c r="E61" s="597"/>
      <c r="F61" s="407"/>
      <c r="G61" s="407"/>
      <c r="H61" s="407"/>
      <c r="I61" s="407"/>
      <c r="J61" s="407"/>
      <c r="K61" s="407"/>
      <c r="L61" s="407"/>
      <c r="M61" s="407"/>
      <c r="N61" s="407"/>
      <c r="O61" s="407"/>
      <c r="Q61" s="409"/>
    </row>
    <row r="62" spans="2:18" s="406" customFormat="1" ht="15.75" x14ac:dyDescent="0.25">
      <c r="B62" s="405" t="s">
        <v>678</v>
      </c>
      <c r="C62" s="518"/>
      <c r="D62" s="407"/>
      <c r="E62" s="407"/>
      <c r="F62" s="407"/>
      <c r="G62" s="407"/>
      <c r="H62" s="407"/>
      <c r="I62" s="407"/>
      <c r="J62" s="407"/>
      <c r="K62" s="407"/>
      <c r="L62" s="407"/>
      <c r="M62" s="407"/>
      <c r="N62" s="407"/>
      <c r="O62" s="407"/>
      <c r="Q62" s="409"/>
    </row>
    <row r="63" spans="2:18" s="258" customFormat="1" ht="12.75" customHeight="1" x14ac:dyDescent="0.25">
      <c r="B63" s="598" t="s">
        <v>531</v>
      </c>
      <c r="C63" s="598"/>
      <c r="D63" s="598"/>
      <c r="E63" s="599"/>
    </row>
    <row r="64" spans="2:18" s="258" customFormat="1" ht="12.75" customHeight="1" thickBot="1" x14ac:dyDescent="0.3">
      <c r="B64" s="598"/>
      <c r="C64" s="598"/>
      <c r="D64" s="598"/>
      <c r="E64" s="599"/>
    </row>
    <row r="65" spans="2:18" s="258" customFormat="1" ht="40.5" customHeight="1" thickBot="1" x14ac:dyDescent="0.3">
      <c r="B65" s="244"/>
      <c r="C65" s="1097" t="str">
        <f>'1. Building Information'!$B$53</f>
        <v>SITE: Project Name -- Project Address</v>
      </c>
      <c r="D65" s="1098"/>
      <c r="E65" s="247"/>
      <c r="F65" s="247"/>
      <c r="G65" s="1099" t="s">
        <v>224</v>
      </c>
      <c r="H65" s="1100"/>
      <c r="I65" s="1100"/>
      <c r="J65" s="1100"/>
      <c r="K65" s="1100"/>
      <c r="L65" s="1100"/>
      <c r="M65" s="1100"/>
      <c r="N65" s="1100"/>
      <c r="O65" s="1100"/>
      <c r="P65" s="1100"/>
      <c r="Q65" s="1100"/>
      <c r="R65" s="1101"/>
    </row>
    <row r="66" spans="2:18" s="258" customFormat="1" ht="45.75" thickBot="1" x14ac:dyDescent="0.3">
      <c r="B66" s="1102" t="s">
        <v>533</v>
      </c>
      <c r="C66" s="1103" t="s">
        <v>534</v>
      </c>
      <c r="D66" s="1104" t="s">
        <v>219</v>
      </c>
      <c r="E66" s="1105" t="s">
        <v>549</v>
      </c>
      <c r="F66" s="1145" t="s">
        <v>550</v>
      </c>
      <c r="G66" s="1146" t="s">
        <v>28</v>
      </c>
      <c r="H66" s="1108" t="s">
        <v>29</v>
      </c>
      <c r="I66" s="1108" t="s">
        <v>30</v>
      </c>
      <c r="J66" s="1108" t="s">
        <v>31</v>
      </c>
      <c r="K66" s="1108" t="s">
        <v>32</v>
      </c>
      <c r="L66" s="1108" t="s">
        <v>33</v>
      </c>
      <c r="M66" s="1108" t="s">
        <v>8</v>
      </c>
      <c r="N66" s="1108" t="s">
        <v>9</v>
      </c>
      <c r="O66" s="1108" t="s">
        <v>0</v>
      </c>
      <c r="P66" s="1108" t="s">
        <v>2</v>
      </c>
      <c r="Q66" s="1108" t="s">
        <v>3</v>
      </c>
      <c r="R66" s="1109" t="s">
        <v>4</v>
      </c>
    </row>
    <row r="67" spans="2:18" s="258" customFormat="1" ht="15" x14ac:dyDescent="0.25">
      <c r="B67" s="1147" t="s">
        <v>662</v>
      </c>
      <c r="C67" s="1148"/>
      <c r="D67" s="1148"/>
      <c r="E67" s="1148"/>
      <c r="F67" s="1149"/>
      <c r="G67" s="1148"/>
      <c r="H67" s="1148"/>
      <c r="I67" s="1148"/>
      <c r="J67" s="1148"/>
      <c r="K67" s="1148"/>
      <c r="L67" s="1148"/>
      <c r="M67" s="1148"/>
      <c r="N67" s="1148"/>
      <c r="O67" s="1148"/>
      <c r="P67" s="1148"/>
      <c r="Q67" s="1148"/>
      <c r="R67" s="1150"/>
    </row>
    <row r="68" spans="2:18" s="258" customFormat="1" ht="15" x14ac:dyDescent="0.25">
      <c r="B68" s="579" t="str">
        <f>'3. Indoor Non-Potable Supply'!B129</f>
        <v>Showerhead</v>
      </c>
      <c r="C68" s="557" t="s">
        <v>73</v>
      </c>
      <c r="D68" s="580">
        <f>IF(C71="Manual Entry",0,IF(C68="Yes",'3. Indoor Non-Potable Supply'!F129,0))</f>
        <v>0</v>
      </c>
      <c r="E68" s="581">
        <f t="shared" ref="E68:E76" si="20">F68/365</f>
        <v>0</v>
      </c>
      <c r="F68" s="600">
        <f>SUM(D68)</f>
        <v>0</v>
      </c>
      <c r="G68" s="581">
        <f t="shared" ref="G68:R70" si="21">$F68/12</f>
        <v>0</v>
      </c>
      <c r="H68" s="583">
        <f t="shared" si="21"/>
        <v>0</v>
      </c>
      <c r="I68" s="583">
        <f t="shared" si="21"/>
        <v>0</v>
      </c>
      <c r="J68" s="583">
        <f t="shared" si="21"/>
        <v>0</v>
      </c>
      <c r="K68" s="583">
        <f t="shared" si="21"/>
        <v>0</v>
      </c>
      <c r="L68" s="583">
        <f t="shared" si="21"/>
        <v>0</v>
      </c>
      <c r="M68" s="583">
        <f t="shared" si="21"/>
        <v>0</v>
      </c>
      <c r="N68" s="583">
        <f t="shared" si="21"/>
        <v>0</v>
      </c>
      <c r="O68" s="583">
        <f t="shared" si="21"/>
        <v>0</v>
      </c>
      <c r="P68" s="583">
        <f t="shared" si="21"/>
        <v>0</v>
      </c>
      <c r="Q68" s="583">
        <f t="shared" si="21"/>
        <v>0</v>
      </c>
      <c r="R68" s="580">
        <f t="shared" si="21"/>
        <v>0</v>
      </c>
    </row>
    <row r="69" spans="2:18" s="258" customFormat="1" ht="15" x14ac:dyDescent="0.25">
      <c r="B69" s="584" t="str">
        <f>'3. Indoor Non-Potable Supply'!B130</f>
        <v>Lavatory Faucet</v>
      </c>
      <c r="C69" s="231" t="s">
        <v>73</v>
      </c>
      <c r="D69" s="411">
        <f>IF(C71="Manual Entry",0,IF(C69="Yes",'3. Indoor Non-Potable Supply'!F130,0))</f>
        <v>0</v>
      </c>
      <c r="E69" s="585">
        <f t="shared" si="20"/>
        <v>0</v>
      </c>
      <c r="F69" s="601">
        <f>SUM(D69)</f>
        <v>0</v>
      </c>
      <c r="G69" s="585">
        <f t="shared" si="21"/>
        <v>0</v>
      </c>
      <c r="H69" s="587">
        <f t="shared" si="21"/>
        <v>0</v>
      </c>
      <c r="I69" s="587">
        <f t="shared" si="21"/>
        <v>0</v>
      </c>
      <c r="J69" s="587">
        <f t="shared" si="21"/>
        <v>0</v>
      </c>
      <c r="K69" s="587">
        <f t="shared" si="21"/>
        <v>0</v>
      </c>
      <c r="L69" s="587">
        <f t="shared" si="21"/>
        <v>0</v>
      </c>
      <c r="M69" s="587">
        <f t="shared" si="21"/>
        <v>0</v>
      </c>
      <c r="N69" s="587">
        <f t="shared" si="21"/>
        <v>0</v>
      </c>
      <c r="O69" s="587">
        <f t="shared" si="21"/>
        <v>0</v>
      </c>
      <c r="P69" s="587">
        <f t="shared" si="21"/>
        <v>0</v>
      </c>
      <c r="Q69" s="587">
        <f t="shared" si="21"/>
        <v>0</v>
      </c>
      <c r="R69" s="411">
        <f t="shared" si="21"/>
        <v>0</v>
      </c>
    </row>
    <row r="70" spans="2:18" s="258" customFormat="1" ht="15" x14ac:dyDescent="0.25">
      <c r="B70" s="584" t="str">
        <f>'3. Indoor Non-Potable Supply'!B131</f>
        <v>Commercial Laundry</v>
      </c>
      <c r="C70" s="231" t="s">
        <v>73</v>
      </c>
      <c r="D70" s="411">
        <f>IF(C71="Manual Entry",0,IF(C70="Yes",'3. Indoor Non-Potable Supply'!F131,0))</f>
        <v>0</v>
      </c>
      <c r="E70" s="585">
        <f t="shared" si="20"/>
        <v>0</v>
      </c>
      <c r="F70" s="601">
        <f>SUM(D70)</f>
        <v>0</v>
      </c>
      <c r="G70" s="585">
        <f t="shared" si="21"/>
        <v>0</v>
      </c>
      <c r="H70" s="587">
        <f t="shared" si="21"/>
        <v>0</v>
      </c>
      <c r="I70" s="587">
        <f t="shared" si="21"/>
        <v>0</v>
      </c>
      <c r="J70" s="587">
        <f t="shared" si="21"/>
        <v>0</v>
      </c>
      <c r="K70" s="587">
        <f t="shared" si="21"/>
        <v>0</v>
      </c>
      <c r="L70" s="587">
        <f t="shared" si="21"/>
        <v>0</v>
      </c>
      <c r="M70" s="587">
        <f t="shared" si="21"/>
        <v>0</v>
      </c>
      <c r="N70" s="587">
        <f t="shared" si="21"/>
        <v>0</v>
      </c>
      <c r="O70" s="587">
        <f t="shared" si="21"/>
        <v>0</v>
      </c>
      <c r="P70" s="587">
        <f t="shared" si="21"/>
        <v>0</v>
      </c>
      <c r="Q70" s="587">
        <f t="shared" si="21"/>
        <v>0</v>
      </c>
      <c r="R70" s="411">
        <f t="shared" si="21"/>
        <v>0</v>
      </c>
    </row>
    <row r="71" spans="2:18" s="258" customFormat="1" ht="48" customHeight="1" thickBot="1" x14ac:dyDescent="0.3">
      <c r="B71" s="588" t="s">
        <v>671</v>
      </c>
      <c r="C71" s="558" t="s">
        <v>646</v>
      </c>
      <c r="D71" s="1639">
        <f>'3. Indoor Non-Potable Supply'!G26</f>
        <v>0</v>
      </c>
      <c r="E71" s="589">
        <f>F71/365</f>
        <v>0</v>
      </c>
      <c r="F71" s="590">
        <f>IF(C71="Manual Entry",D71,0)</f>
        <v>0</v>
      </c>
      <c r="G71" s="591">
        <f t="shared" ref="G71:R71" si="22">$F$71/12</f>
        <v>0</v>
      </c>
      <c r="H71" s="591">
        <f t="shared" si="22"/>
        <v>0</v>
      </c>
      <c r="I71" s="591">
        <f t="shared" si="22"/>
        <v>0</v>
      </c>
      <c r="J71" s="591">
        <f t="shared" si="22"/>
        <v>0</v>
      </c>
      <c r="K71" s="591">
        <f t="shared" si="22"/>
        <v>0</v>
      </c>
      <c r="L71" s="591">
        <f t="shared" si="22"/>
        <v>0</v>
      </c>
      <c r="M71" s="591">
        <f t="shared" si="22"/>
        <v>0</v>
      </c>
      <c r="N71" s="591">
        <f t="shared" si="22"/>
        <v>0</v>
      </c>
      <c r="O71" s="591">
        <f t="shared" si="22"/>
        <v>0</v>
      </c>
      <c r="P71" s="591">
        <f t="shared" si="22"/>
        <v>0</v>
      </c>
      <c r="Q71" s="591">
        <f t="shared" si="22"/>
        <v>0</v>
      </c>
      <c r="R71" s="593">
        <f t="shared" si="22"/>
        <v>0</v>
      </c>
    </row>
    <row r="72" spans="2:18" s="258" customFormat="1" ht="16.5" thickTop="1" thickBot="1" x14ac:dyDescent="0.3">
      <c r="B72" s="1151" t="s">
        <v>604</v>
      </c>
      <c r="C72" s="1115"/>
      <c r="D72" s="1116">
        <f>IF(C71="Manual Entry",D71,SUM(D68:D70))</f>
        <v>0</v>
      </c>
      <c r="E72" s="1117">
        <f>F72/365</f>
        <v>0</v>
      </c>
      <c r="F72" s="1116">
        <f>SUM(D72)</f>
        <v>0</v>
      </c>
      <c r="G72" s="1118">
        <f>SUM(G68:G71)</f>
        <v>0</v>
      </c>
      <c r="H72" s="1118">
        <f t="shared" ref="H72" si="23">SUM(H68:H71)</f>
        <v>0</v>
      </c>
      <c r="I72" s="1118">
        <f t="shared" ref="I72" si="24">SUM(I68:I71)</f>
        <v>0</v>
      </c>
      <c r="J72" s="1118">
        <f t="shared" ref="J72" si="25">SUM(J68:J71)</f>
        <v>0</v>
      </c>
      <c r="K72" s="1118">
        <f t="shared" ref="K72" si="26">SUM(K68:K71)</f>
        <v>0</v>
      </c>
      <c r="L72" s="1118">
        <f t="shared" ref="L72" si="27">SUM(L68:L71)</f>
        <v>0</v>
      </c>
      <c r="M72" s="1118">
        <f t="shared" ref="M72" si="28">SUM(M68:M71)</f>
        <v>0</v>
      </c>
      <c r="N72" s="1118">
        <f t="shared" ref="N72" si="29">SUM(N68:N71)</f>
        <v>0</v>
      </c>
      <c r="O72" s="1118">
        <f t="shared" ref="O72" si="30">SUM(O68:O71)</f>
        <v>0</v>
      </c>
      <c r="P72" s="1118">
        <f t="shared" ref="P72" si="31">SUM(P68:P71)</f>
        <v>0</v>
      </c>
      <c r="Q72" s="1118">
        <f t="shared" ref="Q72" si="32">SUM(Q68:Q71)</f>
        <v>0</v>
      </c>
      <c r="R72" s="1119">
        <f t="shared" ref="R72" si="33">SUM(R68:R71)</f>
        <v>0</v>
      </c>
    </row>
    <row r="73" spans="2:18" s="258" customFormat="1" ht="15" x14ac:dyDescent="0.25">
      <c r="B73" s="584" t="str">
        <f>'3. Indoor Non-Potable Supply'!B132</f>
        <v>Urinals</v>
      </c>
      <c r="C73" s="231" t="s">
        <v>73</v>
      </c>
      <c r="D73" s="411">
        <f>IF(C77="Manual Entry",0,IF(C73="Yes",'3. Indoor Non-Potable Supply'!F132,0))</f>
        <v>0</v>
      </c>
      <c r="E73" s="585">
        <f t="shared" si="20"/>
        <v>0</v>
      </c>
      <c r="F73" s="601">
        <f>SUM(D73)</f>
        <v>0</v>
      </c>
      <c r="G73" s="585">
        <f t="shared" ref="G73:R76" si="34">$F73/12</f>
        <v>0</v>
      </c>
      <c r="H73" s="587">
        <f t="shared" si="34"/>
        <v>0</v>
      </c>
      <c r="I73" s="587">
        <f t="shared" si="34"/>
        <v>0</v>
      </c>
      <c r="J73" s="587">
        <f t="shared" si="34"/>
        <v>0</v>
      </c>
      <c r="K73" s="587">
        <f t="shared" si="34"/>
        <v>0</v>
      </c>
      <c r="L73" s="587">
        <f t="shared" si="34"/>
        <v>0</v>
      </c>
      <c r="M73" s="587">
        <f t="shared" si="34"/>
        <v>0</v>
      </c>
      <c r="N73" s="587">
        <f t="shared" si="34"/>
        <v>0</v>
      </c>
      <c r="O73" s="587">
        <f t="shared" si="34"/>
        <v>0</v>
      </c>
      <c r="P73" s="587">
        <f t="shared" si="34"/>
        <v>0</v>
      </c>
      <c r="Q73" s="587">
        <f t="shared" si="34"/>
        <v>0</v>
      </c>
      <c r="R73" s="411">
        <f t="shared" si="34"/>
        <v>0</v>
      </c>
    </row>
    <row r="74" spans="2:18" s="258" customFormat="1" ht="15" x14ac:dyDescent="0.25">
      <c r="B74" s="584" t="str">
        <f>'3. Indoor Non-Potable Supply'!B133</f>
        <v>Toilet (Water Closet)</v>
      </c>
      <c r="C74" s="231" t="s">
        <v>73</v>
      </c>
      <c r="D74" s="411">
        <f>IF(C77="Manual Entry",0,IF(C74="Yes",'3. Indoor Non-Potable Supply'!F133,0))</f>
        <v>0</v>
      </c>
      <c r="E74" s="585">
        <f t="shared" si="20"/>
        <v>0</v>
      </c>
      <c r="F74" s="601">
        <f>SUM(D74)</f>
        <v>0</v>
      </c>
      <c r="G74" s="585">
        <f t="shared" si="34"/>
        <v>0</v>
      </c>
      <c r="H74" s="587">
        <f t="shared" si="34"/>
        <v>0</v>
      </c>
      <c r="I74" s="587">
        <f t="shared" si="34"/>
        <v>0</v>
      </c>
      <c r="J74" s="587">
        <f t="shared" si="34"/>
        <v>0</v>
      </c>
      <c r="K74" s="587">
        <f t="shared" si="34"/>
        <v>0</v>
      </c>
      <c r="L74" s="587">
        <f t="shared" si="34"/>
        <v>0</v>
      </c>
      <c r="M74" s="587">
        <f t="shared" si="34"/>
        <v>0</v>
      </c>
      <c r="N74" s="587">
        <f t="shared" si="34"/>
        <v>0</v>
      </c>
      <c r="O74" s="587">
        <f t="shared" si="34"/>
        <v>0</v>
      </c>
      <c r="P74" s="587">
        <f t="shared" si="34"/>
        <v>0</v>
      </c>
      <c r="Q74" s="587">
        <f t="shared" si="34"/>
        <v>0</v>
      </c>
      <c r="R74" s="411">
        <f t="shared" si="34"/>
        <v>0</v>
      </c>
    </row>
    <row r="75" spans="2:18" s="258" customFormat="1" ht="15" x14ac:dyDescent="0.25">
      <c r="B75" s="584" t="str">
        <f>'3. Indoor Non-Potable Supply'!B134</f>
        <v>Kitchen Faucet</v>
      </c>
      <c r="C75" s="231" t="s">
        <v>73</v>
      </c>
      <c r="D75" s="411">
        <f>IF(C77="Manual Entry",0,IF(C75="Yes",'3. Indoor Non-Potable Supply'!F134,0))</f>
        <v>0</v>
      </c>
      <c r="E75" s="585">
        <f t="shared" si="20"/>
        <v>0</v>
      </c>
      <c r="F75" s="601">
        <f>SUM(D75)</f>
        <v>0</v>
      </c>
      <c r="G75" s="585">
        <f t="shared" si="34"/>
        <v>0</v>
      </c>
      <c r="H75" s="587">
        <f t="shared" si="34"/>
        <v>0</v>
      </c>
      <c r="I75" s="587">
        <f t="shared" si="34"/>
        <v>0</v>
      </c>
      <c r="J75" s="587">
        <f t="shared" si="34"/>
        <v>0</v>
      </c>
      <c r="K75" s="587">
        <f t="shared" si="34"/>
        <v>0</v>
      </c>
      <c r="L75" s="587">
        <f t="shared" si="34"/>
        <v>0</v>
      </c>
      <c r="M75" s="587">
        <f t="shared" si="34"/>
        <v>0</v>
      </c>
      <c r="N75" s="587">
        <f t="shared" si="34"/>
        <v>0</v>
      </c>
      <c r="O75" s="587">
        <f t="shared" si="34"/>
        <v>0</v>
      </c>
      <c r="P75" s="587">
        <f t="shared" si="34"/>
        <v>0</v>
      </c>
      <c r="Q75" s="587">
        <f t="shared" si="34"/>
        <v>0</v>
      </c>
      <c r="R75" s="411">
        <f t="shared" si="34"/>
        <v>0</v>
      </c>
    </row>
    <row r="76" spans="2:18" s="258" customFormat="1" ht="15" x14ac:dyDescent="0.25">
      <c r="B76" s="584" t="str">
        <f>'3. Indoor Non-Potable Supply'!B135</f>
        <v>Low Flow Sprayer - Restaurants</v>
      </c>
      <c r="C76" s="231" t="s">
        <v>73</v>
      </c>
      <c r="D76" s="411">
        <f>IF(C77="Manual Entry",0,IF(C76="Yes",'3. Indoor Non-Potable Supply'!F135,0))</f>
        <v>0</v>
      </c>
      <c r="E76" s="585">
        <f t="shared" si="20"/>
        <v>0</v>
      </c>
      <c r="F76" s="601">
        <f>SUM(D76)</f>
        <v>0</v>
      </c>
      <c r="G76" s="585">
        <f t="shared" si="34"/>
        <v>0</v>
      </c>
      <c r="H76" s="587">
        <f t="shared" si="34"/>
        <v>0</v>
      </c>
      <c r="I76" s="587">
        <f t="shared" si="34"/>
        <v>0</v>
      </c>
      <c r="J76" s="587">
        <f t="shared" si="34"/>
        <v>0</v>
      </c>
      <c r="K76" s="587">
        <f t="shared" si="34"/>
        <v>0</v>
      </c>
      <c r="L76" s="587">
        <f t="shared" si="34"/>
        <v>0</v>
      </c>
      <c r="M76" s="587">
        <f t="shared" si="34"/>
        <v>0</v>
      </c>
      <c r="N76" s="587">
        <f t="shared" si="34"/>
        <v>0</v>
      </c>
      <c r="O76" s="587">
        <f t="shared" si="34"/>
        <v>0</v>
      </c>
      <c r="P76" s="587">
        <f t="shared" si="34"/>
        <v>0</v>
      </c>
      <c r="Q76" s="587">
        <f t="shared" si="34"/>
        <v>0</v>
      </c>
      <c r="R76" s="411">
        <f t="shared" si="34"/>
        <v>0</v>
      </c>
    </row>
    <row r="77" spans="2:18" s="258" customFormat="1" ht="65.25" customHeight="1" thickBot="1" x14ac:dyDescent="0.3">
      <c r="B77" s="588" t="s">
        <v>670</v>
      </c>
      <c r="C77" s="558" t="s">
        <v>646</v>
      </c>
      <c r="D77" s="1639">
        <f>'3. Indoor Non-Potable Supply'!O27</f>
        <v>0</v>
      </c>
      <c r="E77" s="589">
        <f>F77/365</f>
        <v>0</v>
      </c>
      <c r="F77" s="590">
        <f>IF(C77="Manual Entry",D77,0)</f>
        <v>0</v>
      </c>
      <c r="G77" s="591">
        <f t="shared" ref="G77:R77" si="35">$F$77/12</f>
        <v>0</v>
      </c>
      <c r="H77" s="591">
        <f t="shared" si="35"/>
        <v>0</v>
      </c>
      <c r="I77" s="591">
        <f t="shared" si="35"/>
        <v>0</v>
      </c>
      <c r="J77" s="591">
        <f t="shared" si="35"/>
        <v>0</v>
      </c>
      <c r="K77" s="591">
        <f t="shared" si="35"/>
        <v>0</v>
      </c>
      <c r="L77" s="591">
        <f t="shared" si="35"/>
        <v>0</v>
      </c>
      <c r="M77" s="591">
        <f t="shared" si="35"/>
        <v>0</v>
      </c>
      <c r="N77" s="591">
        <f t="shared" si="35"/>
        <v>0</v>
      </c>
      <c r="O77" s="591">
        <f t="shared" si="35"/>
        <v>0</v>
      </c>
      <c r="P77" s="591">
        <f t="shared" si="35"/>
        <v>0</v>
      </c>
      <c r="Q77" s="591">
        <f t="shared" si="35"/>
        <v>0</v>
      </c>
      <c r="R77" s="593">
        <f t="shared" si="35"/>
        <v>0</v>
      </c>
    </row>
    <row r="78" spans="2:18" s="258" customFormat="1" ht="16.5" thickTop="1" thickBot="1" x14ac:dyDescent="0.3">
      <c r="B78" s="1155" t="s">
        <v>603</v>
      </c>
      <c r="C78" s="1156"/>
      <c r="D78" s="1157">
        <f>IF(C77="Manual Entry",D77,SUM(D73:D76))</f>
        <v>0</v>
      </c>
      <c r="E78" s="1158">
        <f>F78/365</f>
        <v>0</v>
      </c>
      <c r="F78" s="1157">
        <f>SUM(D78)</f>
        <v>0</v>
      </c>
      <c r="G78" s="1159">
        <f>SUM(G73:G77)</f>
        <v>0</v>
      </c>
      <c r="H78" s="1159">
        <f t="shared" ref="H78:R78" si="36">SUM(H73:H77)</f>
        <v>0</v>
      </c>
      <c r="I78" s="1159">
        <f t="shared" si="36"/>
        <v>0</v>
      </c>
      <c r="J78" s="1159">
        <f t="shared" si="36"/>
        <v>0</v>
      </c>
      <c r="K78" s="1159">
        <f t="shared" si="36"/>
        <v>0</v>
      </c>
      <c r="L78" s="1159">
        <f t="shared" si="36"/>
        <v>0</v>
      </c>
      <c r="M78" s="1159">
        <f t="shared" si="36"/>
        <v>0</v>
      </c>
      <c r="N78" s="1159">
        <f t="shared" si="36"/>
        <v>0</v>
      </c>
      <c r="O78" s="1159">
        <f t="shared" si="36"/>
        <v>0</v>
      </c>
      <c r="P78" s="1159">
        <f t="shared" si="36"/>
        <v>0</v>
      </c>
      <c r="Q78" s="1159">
        <f t="shared" si="36"/>
        <v>0</v>
      </c>
      <c r="R78" s="1160">
        <f t="shared" si="36"/>
        <v>0</v>
      </c>
    </row>
    <row r="79" spans="2:18" s="258" customFormat="1" ht="16.5" thickTop="1" thickBot="1" x14ac:dyDescent="0.3">
      <c r="B79" s="1152" t="s">
        <v>544</v>
      </c>
      <c r="C79" s="1140"/>
      <c r="D79" s="1141">
        <f>SUM(D72,D78)</f>
        <v>0</v>
      </c>
      <c r="E79" s="1142">
        <f>SUM(E72,E78)</f>
        <v>0</v>
      </c>
      <c r="F79" s="1153">
        <f>SUM(F72,F78)</f>
        <v>0</v>
      </c>
      <c r="G79" s="1117">
        <f>SUM(G72,G78)</f>
        <v>0</v>
      </c>
      <c r="H79" s="1154">
        <f t="shared" ref="H79:R79" si="37">SUM(H72,H78)</f>
        <v>0</v>
      </c>
      <c r="I79" s="1154">
        <f t="shared" si="37"/>
        <v>0</v>
      </c>
      <c r="J79" s="1154">
        <f t="shared" si="37"/>
        <v>0</v>
      </c>
      <c r="K79" s="1154">
        <f t="shared" si="37"/>
        <v>0</v>
      </c>
      <c r="L79" s="1154">
        <f t="shared" si="37"/>
        <v>0</v>
      </c>
      <c r="M79" s="1154">
        <f t="shared" si="37"/>
        <v>0</v>
      </c>
      <c r="N79" s="1154">
        <f t="shared" si="37"/>
        <v>0</v>
      </c>
      <c r="O79" s="1154">
        <f t="shared" si="37"/>
        <v>0</v>
      </c>
      <c r="P79" s="1154">
        <f t="shared" si="37"/>
        <v>0</v>
      </c>
      <c r="Q79" s="1154">
        <f t="shared" si="37"/>
        <v>0</v>
      </c>
      <c r="R79" s="1116">
        <f t="shared" si="37"/>
        <v>0</v>
      </c>
    </row>
    <row r="80" spans="2:18" s="258" customFormat="1" ht="5.25" customHeight="1" thickBot="1" x14ac:dyDescent="0.3">
      <c r="B80" s="598"/>
      <c r="C80" s="598"/>
      <c r="D80" s="598"/>
    </row>
    <row r="81" spans="2:18" s="258" customFormat="1" ht="15" x14ac:dyDescent="0.25">
      <c r="B81" s="1147" t="s">
        <v>663</v>
      </c>
      <c r="C81" s="1148"/>
      <c r="D81" s="1161"/>
      <c r="E81" s="1161"/>
      <c r="F81" s="1161"/>
      <c r="G81" s="1161"/>
      <c r="H81" s="1161"/>
      <c r="I81" s="1161"/>
      <c r="J81" s="1161"/>
      <c r="K81" s="1161"/>
      <c r="L81" s="1161"/>
      <c r="M81" s="1161"/>
      <c r="N81" s="1161"/>
      <c r="O81" s="1161"/>
      <c r="P81" s="1161"/>
      <c r="Q81" s="1161"/>
      <c r="R81" s="1162"/>
    </row>
    <row r="82" spans="2:18" s="258" customFormat="1" ht="15" x14ac:dyDescent="0.25">
      <c r="B82" s="579" t="str">
        <f>'3. Indoor Non-Potable Supply'!B141</f>
        <v xml:space="preserve">Showerhead </v>
      </c>
      <c r="C82" s="557" t="s">
        <v>73</v>
      </c>
      <c r="D82" s="580">
        <f>IF(C86="Manual Entry",0,IF(C82="Yes",'3. Indoor Non-Potable Supply'!F141,0))</f>
        <v>0</v>
      </c>
      <c r="E82" s="581">
        <f t="shared" ref="E82:E91" si="38">F82/365</f>
        <v>0</v>
      </c>
      <c r="F82" s="600">
        <f>SUM(D82)</f>
        <v>0</v>
      </c>
      <c r="G82" s="581">
        <f t="shared" ref="G82:R85" si="39">$F82/12</f>
        <v>0</v>
      </c>
      <c r="H82" s="583">
        <f t="shared" si="39"/>
        <v>0</v>
      </c>
      <c r="I82" s="583">
        <f t="shared" si="39"/>
        <v>0</v>
      </c>
      <c r="J82" s="583">
        <f t="shared" si="39"/>
        <v>0</v>
      </c>
      <c r="K82" s="583">
        <f t="shared" si="39"/>
        <v>0</v>
      </c>
      <c r="L82" s="583">
        <f t="shared" si="39"/>
        <v>0</v>
      </c>
      <c r="M82" s="583">
        <f t="shared" si="39"/>
        <v>0</v>
      </c>
      <c r="N82" s="583">
        <f t="shared" si="39"/>
        <v>0</v>
      </c>
      <c r="O82" s="583">
        <f t="shared" si="39"/>
        <v>0</v>
      </c>
      <c r="P82" s="583">
        <f t="shared" si="39"/>
        <v>0</v>
      </c>
      <c r="Q82" s="583">
        <f t="shared" si="39"/>
        <v>0</v>
      </c>
      <c r="R82" s="580">
        <f t="shared" si="39"/>
        <v>0</v>
      </c>
    </row>
    <row r="83" spans="2:18" s="258" customFormat="1" ht="15" x14ac:dyDescent="0.25">
      <c r="B83" s="584" t="str">
        <f>'3. Indoor Non-Potable Supply'!B142</f>
        <v>Faucet</v>
      </c>
      <c r="C83" s="231" t="s">
        <v>73</v>
      </c>
      <c r="D83" s="411">
        <f>IF(C86="Manual Entry",0,IF(C83="Yes",'3. Indoor Non-Potable Supply'!F142,0))</f>
        <v>0</v>
      </c>
      <c r="E83" s="585">
        <f t="shared" si="38"/>
        <v>0</v>
      </c>
      <c r="F83" s="601">
        <f>SUM(D83)</f>
        <v>0</v>
      </c>
      <c r="G83" s="585">
        <f t="shared" si="39"/>
        <v>0</v>
      </c>
      <c r="H83" s="587">
        <f t="shared" si="39"/>
        <v>0</v>
      </c>
      <c r="I83" s="587">
        <f t="shared" si="39"/>
        <v>0</v>
      </c>
      <c r="J83" s="587">
        <f t="shared" si="39"/>
        <v>0</v>
      </c>
      <c r="K83" s="587">
        <f t="shared" si="39"/>
        <v>0</v>
      </c>
      <c r="L83" s="587">
        <f t="shared" si="39"/>
        <v>0</v>
      </c>
      <c r="M83" s="587">
        <f t="shared" si="39"/>
        <v>0</v>
      </c>
      <c r="N83" s="587">
        <f t="shared" si="39"/>
        <v>0</v>
      </c>
      <c r="O83" s="587">
        <f t="shared" si="39"/>
        <v>0</v>
      </c>
      <c r="P83" s="587">
        <f t="shared" si="39"/>
        <v>0</v>
      </c>
      <c r="Q83" s="587">
        <f t="shared" si="39"/>
        <v>0</v>
      </c>
      <c r="R83" s="411">
        <f t="shared" si="39"/>
        <v>0</v>
      </c>
    </row>
    <row r="84" spans="2:18" s="258" customFormat="1" ht="15" x14ac:dyDescent="0.25">
      <c r="B84" s="584" t="str">
        <f>'3. Indoor Non-Potable Supply'!B143</f>
        <v>Bath</v>
      </c>
      <c r="C84" s="231" t="s">
        <v>73</v>
      </c>
      <c r="D84" s="411">
        <f>IF(C86="Manual Entry",0,IF(C84="Yes",'3. Indoor Non-Potable Supply'!F143,0))</f>
        <v>0</v>
      </c>
      <c r="E84" s="585">
        <f t="shared" si="38"/>
        <v>0</v>
      </c>
      <c r="F84" s="601">
        <f>SUM(D84)</f>
        <v>0</v>
      </c>
      <c r="G84" s="585">
        <f t="shared" si="39"/>
        <v>0</v>
      </c>
      <c r="H84" s="587">
        <f t="shared" si="39"/>
        <v>0</v>
      </c>
      <c r="I84" s="587">
        <f t="shared" si="39"/>
        <v>0</v>
      </c>
      <c r="J84" s="587">
        <f t="shared" si="39"/>
        <v>0</v>
      </c>
      <c r="K84" s="587">
        <f t="shared" si="39"/>
        <v>0</v>
      </c>
      <c r="L84" s="587">
        <f t="shared" si="39"/>
        <v>0</v>
      </c>
      <c r="M84" s="587">
        <f t="shared" si="39"/>
        <v>0</v>
      </c>
      <c r="N84" s="587">
        <f t="shared" si="39"/>
        <v>0</v>
      </c>
      <c r="O84" s="587">
        <f t="shared" si="39"/>
        <v>0</v>
      </c>
      <c r="P84" s="587">
        <f t="shared" si="39"/>
        <v>0</v>
      </c>
      <c r="Q84" s="587">
        <f t="shared" si="39"/>
        <v>0</v>
      </c>
      <c r="R84" s="411">
        <f t="shared" si="39"/>
        <v>0</v>
      </c>
    </row>
    <row r="85" spans="2:18" s="258" customFormat="1" ht="15" x14ac:dyDescent="0.25">
      <c r="B85" s="584" t="str">
        <f>'3. Indoor Non-Potable Supply'!B144</f>
        <v>Laundry Machine</v>
      </c>
      <c r="C85" s="231" t="s">
        <v>73</v>
      </c>
      <c r="D85" s="411">
        <f>IF(C86="Manual Entry",0,IF(C85="Yes",'3. Indoor Non-Potable Supply'!F144,0))</f>
        <v>0</v>
      </c>
      <c r="E85" s="585">
        <f t="shared" si="38"/>
        <v>0</v>
      </c>
      <c r="F85" s="601">
        <f>SUM(D85)</f>
        <v>0</v>
      </c>
      <c r="G85" s="585">
        <f t="shared" si="39"/>
        <v>0</v>
      </c>
      <c r="H85" s="587">
        <f t="shared" si="39"/>
        <v>0</v>
      </c>
      <c r="I85" s="587">
        <f t="shared" si="39"/>
        <v>0</v>
      </c>
      <c r="J85" s="587">
        <f t="shared" si="39"/>
        <v>0</v>
      </c>
      <c r="K85" s="587">
        <f t="shared" si="39"/>
        <v>0</v>
      </c>
      <c r="L85" s="587">
        <f t="shared" si="39"/>
        <v>0</v>
      </c>
      <c r="M85" s="587">
        <f t="shared" si="39"/>
        <v>0</v>
      </c>
      <c r="N85" s="587">
        <f t="shared" si="39"/>
        <v>0</v>
      </c>
      <c r="O85" s="587">
        <f t="shared" si="39"/>
        <v>0</v>
      </c>
      <c r="P85" s="587">
        <f t="shared" si="39"/>
        <v>0</v>
      </c>
      <c r="Q85" s="587">
        <f t="shared" si="39"/>
        <v>0</v>
      </c>
      <c r="R85" s="411">
        <f t="shared" si="39"/>
        <v>0</v>
      </c>
    </row>
    <row r="86" spans="2:18" s="258" customFormat="1" ht="69" customHeight="1" thickBot="1" x14ac:dyDescent="0.3">
      <c r="B86" s="588" t="s">
        <v>669</v>
      </c>
      <c r="C86" s="558" t="s">
        <v>646</v>
      </c>
      <c r="D86" s="1639">
        <f>'3. Indoor Non-Potable Supply'!G45</f>
        <v>0</v>
      </c>
      <c r="E86" s="589">
        <f>F86/365</f>
        <v>0</v>
      </c>
      <c r="F86" s="590">
        <f>IF(C86="Manual Entry",D86,0)</f>
        <v>0</v>
      </c>
      <c r="G86" s="591">
        <f t="shared" ref="G86:R86" si="40">$F$86/12</f>
        <v>0</v>
      </c>
      <c r="H86" s="591">
        <f t="shared" si="40"/>
        <v>0</v>
      </c>
      <c r="I86" s="591">
        <f t="shared" si="40"/>
        <v>0</v>
      </c>
      <c r="J86" s="591">
        <f t="shared" si="40"/>
        <v>0</v>
      </c>
      <c r="K86" s="591">
        <f t="shared" si="40"/>
        <v>0</v>
      </c>
      <c r="L86" s="591">
        <f t="shared" si="40"/>
        <v>0</v>
      </c>
      <c r="M86" s="591">
        <f t="shared" si="40"/>
        <v>0</v>
      </c>
      <c r="N86" s="591">
        <f t="shared" si="40"/>
        <v>0</v>
      </c>
      <c r="O86" s="591">
        <f t="shared" si="40"/>
        <v>0</v>
      </c>
      <c r="P86" s="591">
        <f t="shared" si="40"/>
        <v>0</v>
      </c>
      <c r="Q86" s="591">
        <f t="shared" si="40"/>
        <v>0</v>
      </c>
      <c r="R86" s="593">
        <f t="shared" si="40"/>
        <v>0</v>
      </c>
    </row>
    <row r="87" spans="2:18" s="258" customFormat="1" ht="16.5" thickTop="1" thickBot="1" x14ac:dyDescent="0.3">
      <c r="B87" s="1114" t="s">
        <v>605</v>
      </c>
      <c r="C87" s="1115"/>
      <c r="D87" s="1116">
        <f>IF(C86="Manual Entry",D86,SUM(D82:D85))</f>
        <v>0</v>
      </c>
      <c r="E87" s="1117">
        <f>F87/365</f>
        <v>0</v>
      </c>
      <c r="F87" s="1116">
        <f>SUM(D87)</f>
        <v>0</v>
      </c>
      <c r="G87" s="1118">
        <f>SUM(G82:G86)</f>
        <v>0</v>
      </c>
      <c r="H87" s="1118">
        <f t="shared" ref="H87" si="41">SUM(H82:H86)</f>
        <v>0</v>
      </c>
      <c r="I87" s="1118">
        <f t="shared" ref="I87" si="42">SUM(I82:I86)</f>
        <v>0</v>
      </c>
      <c r="J87" s="1118">
        <f t="shared" ref="J87" si="43">SUM(J82:J86)</f>
        <v>0</v>
      </c>
      <c r="K87" s="1118">
        <f t="shared" ref="K87" si="44">SUM(K82:K86)</f>
        <v>0</v>
      </c>
      <c r="L87" s="1118">
        <f t="shared" ref="L87" si="45">SUM(L82:L86)</f>
        <v>0</v>
      </c>
      <c r="M87" s="1118">
        <f t="shared" ref="M87" si="46">SUM(M82:M86)</f>
        <v>0</v>
      </c>
      <c r="N87" s="1118">
        <f t="shared" ref="N87" si="47">SUM(N82:N86)</f>
        <v>0</v>
      </c>
      <c r="O87" s="1118">
        <f t="shared" ref="O87" si="48">SUM(O82:O86)</f>
        <v>0</v>
      </c>
      <c r="P87" s="1118">
        <f t="shared" ref="P87" si="49">SUM(P82:P86)</f>
        <v>0</v>
      </c>
      <c r="Q87" s="1118">
        <f t="shared" ref="Q87" si="50">SUM(Q82:Q86)</f>
        <v>0</v>
      </c>
      <c r="R87" s="1119">
        <f t="shared" ref="R87" si="51">SUM(R82:R86)</f>
        <v>0</v>
      </c>
    </row>
    <row r="88" spans="2:18" s="258" customFormat="1" ht="15" x14ac:dyDescent="0.25">
      <c r="B88" s="584" t="str">
        <f>'3. Indoor Non-Potable Supply'!B145</f>
        <v>Toilet (Water Closet)</v>
      </c>
      <c r="C88" s="231" t="s">
        <v>73</v>
      </c>
      <c r="D88" s="411">
        <f>IF(C92="Manual Entry",0,IF(C88="Yes",'3. Indoor Non-Potable Supply'!F145,0))</f>
        <v>0</v>
      </c>
      <c r="E88" s="585">
        <f t="shared" si="38"/>
        <v>0</v>
      </c>
      <c r="F88" s="601">
        <f>SUM(D88)</f>
        <v>0</v>
      </c>
      <c r="G88" s="585">
        <f t="shared" ref="G88:R91" si="52">$F88/12</f>
        <v>0</v>
      </c>
      <c r="H88" s="587">
        <f t="shared" si="52"/>
        <v>0</v>
      </c>
      <c r="I88" s="587">
        <f t="shared" si="52"/>
        <v>0</v>
      </c>
      <c r="J88" s="587">
        <f t="shared" si="52"/>
        <v>0</v>
      </c>
      <c r="K88" s="587">
        <f t="shared" si="52"/>
        <v>0</v>
      </c>
      <c r="L88" s="587">
        <f t="shared" si="52"/>
        <v>0</v>
      </c>
      <c r="M88" s="587">
        <f t="shared" si="52"/>
        <v>0</v>
      </c>
      <c r="N88" s="587">
        <f t="shared" si="52"/>
        <v>0</v>
      </c>
      <c r="O88" s="587">
        <f t="shared" si="52"/>
        <v>0</v>
      </c>
      <c r="P88" s="587">
        <f t="shared" si="52"/>
        <v>0</v>
      </c>
      <c r="Q88" s="587">
        <f t="shared" si="52"/>
        <v>0</v>
      </c>
      <c r="R88" s="411">
        <f t="shared" si="52"/>
        <v>0</v>
      </c>
    </row>
    <row r="89" spans="2:18" s="258" customFormat="1" ht="15" x14ac:dyDescent="0.25">
      <c r="B89" s="584" t="str">
        <f>'3. Indoor Non-Potable Supply'!B146</f>
        <v>Kitchen Faucet</v>
      </c>
      <c r="C89" s="231" t="s">
        <v>73</v>
      </c>
      <c r="D89" s="411">
        <f>IF(C91="Manual Entry",0,IF(C89="Yes",'3. Indoor Non-Potable Supply'!F146,0))</f>
        <v>0</v>
      </c>
      <c r="E89" s="585">
        <f t="shared" si="38"/>
        <v>0</v>
      </c>
      <c r="F89" s="601">
        <f>SUM(D89)</f>
        <v>0</v>
      </c>
      <c r="G89" s="585">
        <f t="shared" si="52"/>
        <v>0</v>
      </c>
      <c r="H89" s="587">
        <f t="shared" si="52"/>
        <v>0</v>
      </c>
      <c r="I89" s="587">
        <f t="shared" si="52"/>
        <v>0</v>
      </c>
      <c r="J89" s="587">
        <f t="shared" si="52"/>
        <v>0</v>
      </c>
      <c r="K89" s="587">
        <f t="shared" si="52"/>
        <v>0</v>
      </c>
      <c r="L89" s="587">
        <f t="shared" si="52"/>
        <v>0</v>
      </c>
      <c r="M89" s="587">
        <f t="shared" si="52"/>
        <v>0</v>
      </c>
      <c r="N89" s="587">
        <f t="shared" si="52"/>
        <v>0</v>
      </c>
      <c r="O89" s="587">
        <f t="shared" si="52"/>
        <v>0</v>
      </c>
      <c r="P89" s="587">
        <f t="shared" si="52"/>
        <v>0</v>
      </c>
      <c r="Q89" s="587">
        <f t="shared" si="52"/>
        <v>0</v>
      </c>
      <c r="R89" s="411">
        <f t="shared" si="52"/>
        <v>0</v>
      </c>
    </row>
    <row r="90" spans="2:18" s="258" customFormat="1" ht="15" x14ac:dyDescent="0.25">
      <c r="B90" s="584" t="str">
        <f>'3. Indoor Non-Potable Supply'!B147</f>
        <v xml:space="preserve">Dishwasher </v>
      </c>
      <c r="C90" s="231" t="s">
        <v>73</v>
      </c>
      <c r="D90" s="411">
        <f>IF(C92="Manual Entry",0,IF(C90="Yes",'3. Indoor Non-Potable Supply'!F147,0))</f>
        <v>0</v>
      </c>
      <c r="E90" s="585">
        <f t="shared" si="38"/>
        <v>0</v>
      </c>
      <c r="F90" s="601">
        <f>SUM(D90)</f>
        <v>0</v>
      </c>
      <c r="G90" s="585">
        <f t="shared" si="52"/>
        <v>0</v>
      </c>
      <c r="H90" s="587">
        <f t="shared" si="52"/>
        <v>0</v>
      </c>
      <c r="I90" s="587">
        <f t="shared" si="52"/>
        <v>0</v>
      </c>
      <c r="J90" s="587">
        <f t="shared" si="52"/>
        <v>0</v>
      </c>
      <c r="K90" s="587">
        <f t="shared" si="52"/>
        <v>0</v>
      </c>
      <c r="L90" s="587">
        <f t="shared" si="52"/>
        <v>0</v>
      </c>
      <c r="M90" s="587">
        <f t="shared" si="52"/>
        <v>0</v>
      </c>
      <c r="N90" s="587">
        <f t="shared" si="52"/>
        <v>0</v>
      </c>
      <c r="O90" s="587">
        <f t="shared" si="52"/>
        <v>0</v>
      </c>
      <c r="P90" s="587">
        <f t="shared" si="52"/>
        <v>0</v>
      </c>
      <c r="Q90" s="587">
        <f t="shared" si="52"/>
        <v>0</v>
      </c>
      <c r="R90" s="411">
        <f t="shared" si="52"/>
        <v>0</v>
      </c>
    </row>
    <row r="91" spans="2:18" s="258" customFormat="1" ht="15" x14ac:dyDescent="0.25">
      <c r="B91" s="584" t="str">
        <f>'3. Indoor Non-Potable Supply'!B148</f>
        <v>Othe Domestic Use</v>
      </c>
      <c r="C91" s="231" t="s">
        <v>73</v>
      </c>
      <c r="D91" s="411">
        <f>IF(C92="Manual Entry",0,IF(C91="Yes",'3. Indoor Non-Potable Supply'!F148,0))</f>
        <v>0</v>
      </c>
      <c r="E91" s="585">
        <f t="shared" si="38"/>
        <v>0</v>
      </c>
      <c r="F91" s="601">
        <f>SUM(D91)</f>
        <v>0</v>
      </c>
      <c r="G91" s="585">
        <f t="shared" si="52"/>
        <v>0</v>
      </c>
      <c r="H91" s="587">
        <f t="shared" si="52"/>
        <v>0</v>
      </c>
      <c r="I91" s="587">
        <f t="shared" si="52"/>
        <v>0</v>
      </c>
      <c r="J91" s="587">
        <f t="shared" si="52"/>
        <v>0</v>
      </c>
      <c r="K91" s="587">
        <f t="shared" si="52"/>
        <v>0</v>
      </c>
      <c r="L91" s="587">
        <f t="shared" si="52"/>
        <v>0</v>
      </c>
      <c r="M91" s="587">
        <f t="shared" si="52"/>
        <v>0</v>
      </c>
      <c r="N91" s="587">
        <f t="shared" si="52"/>
        <v>0</v>
      </c>
      <c r="O91" s="587">
        <f t="shared" si="52"/>
        <v>0</v>
      </c>
      <c r="P91" s="587">
        <f t="shared" si="52"/>
        <v>0</v>
      </c>
      <c r="Q91" s="587">
        <f t="shared" si="52"/>
        <v>0</v>
      </c>
      <c r="R91" s="411">
        <f t="shared" si="52"/>
        <v>0</v>
      </c>
    </row>
    <row r="92" spans="2:18" s="258" customFormat="1" ht="66.75" customHeight="1" thickBot="1" x14ac:dyDescent="0.3">
      <c r="B92" s="588" t="s">
        <v>668</v>
      </c>
      <c r="C92" s="558" t="s">
        <v>646</v>
      </c>
      <c r="D92" s="1639">
        <f>'3. Indoor Non-Potable Supply'!O46</f>
        <v>0</v>
      </c>
      <c r="E92" s="589">
        <f>F92/365</f>
        <v>0</v>
      </c>
      <c r="F92" s="590">
        <f>IF(C92="Manual Entry",D92,0)</f>
        <v>0</v>
      </c>
      <c r="G92" s="591">
        <f t="shared" ref="G92:R92" si="53">$F$92/12</f>
        <v>0</v>
      </c>
      <c r="H92" s="591">
        <f t="shared" si="53"/>
        <v>0</v>
      </c>
      <c r="I92" s="591">
        <f t="shared" si="53"/>
        <v>0</v>
      </c>
      <c r="J92" s="591">
        <f t="shared" si="53"/>
        <v>0</v>
      </c>
      <c r="K92" s="591">
        <f t="shared" si="53"/>
        <v>0</v>
      </c>
      <c r="L92" s="591">
        <f t="shared" si="53"/>
        <v>0</v>
      </c>
      <c r="M92" s="591">
        <f t="shared" si="53"/>
        <v>0</v>
      </c>
      <c r="N92" s="591">
        <f t="shared" si="53"/>
        <v>0</v>
      </c>
      <c r="O92" s="591">
        <f t="shared" si="53"/>
        <v>0</v>
      </c>
      <c r="P92" s="591">
        <f t="shared" si="53"/>
        <v>0</v>
      </c>
      <c r="Q92" s="591">
        <f t="shared" si="53"/>
        <v>0</v>
      </c>
      <c r="R92" s="593">
        <f t="shared" si="53"/>
        <v>0</v>
      </c>
    </row>
    <row r="93" spans="2:18" s="258" customFormat="1" ht="16.5" thickTop="1" thickBot="1" x14ac:dyDescent="0.3">
      <c r="B93" s="1163" t="s">
        <v>606</v>
      </c>
      <c r="C93" s="1156"/>
      <c r="D93" s="1157">
        <f>IF(C92="Manual Entry",D92,SUM(D88:D91))</f>
        <v>0</v>
      </c>
      <c r="E93" s="1158">
        <f>F93/365</f>
        <v>0</v>
      </c>
      <c r="F93" s="1157">
        <f>SUM(D93)</f>
        <v>0</v>
      </c>
      <c r="G93" s="1159">
        <f>SUM(G88:G92)</f>
        <v>0</v>
      </c>
      <c r="H93" s="1159">
        <f t="shared" ref="H93" si="54">SUM(H88:H92)</f>
        <v>0</v>
      </c>
      <c r="I93" s="1159">
        <f t="shared" ref="I93" si="55">SUM(I88:I92)</f>
        <v>0</v>
      </c>
      <c r="J93" s="1159">
        <f t="shared" ref="J93" si="56">SUM(J88:J92)</f>
        <v>0</v>
      </c>
      <c r="K93" s="1159">
        <f t="shared" ref="K93" si="57">SUM(K88:K92)</f>
        <v>0</v>
      </c>
      <c r="L93" s="1159">
        <f t="shared" ref="L93" si="58">SUM(L88:L92)</f>
        <v>0</v>
      </c>
      <c r="M93" s="1159">
        <f t="shared" ref="M93" si="59">SUM(M88:M92)</f>
        <v>0</v>
      </c>
      <c r="N93" s="1159">
        <f t="shared" ref="N93" si="60">SUM(N88:N92)</f>
        <v>0</v>
      </c>
      <c r="O93" s="1159">
        <f t="shared" ref="O93" si="61">SUM(O88:O92)</f>
        <v>0</v>
      </c>
      <c r="P93" s="1159">
        <f t="shared" ref="P93" si="62">SUM(P88:P92)</f>
        <v>0</v>
      </c>
      <c r="Q93" s="1159">
        <f t="shared" ref="Q93" si="63">SUM(Q88:Q92)</f>
        <v>0</v>
      </c>
      <c r="R93" s="1160">
        <f t="shared" ref="R93" si="64">SUM(R88:R92)</f>
        <v>0</v>
      </c>
    </row>
    <row r="94" spans="2:18" s="258" customFormat="1" ht="16.5" thickTop="1" thickBot="1" x14ac:dyDescent="0.3">
      <c r="B94" s="1152" t="s">
        <v>546</v>
      </c>
      <c r="C94" s="1140"/>
      <c r="D94" s="1141">
        <f>SUM(D87,D93)</f>
        <v>0</v>
      </c>
      <c r="E94" s="1117">
        <f>SUM(E87,E93)</f>
        <v>0</v>
      </c>
      <c r="F94" s="1116">
        <f>SUM(F87,F93)</f>
        <v>0</v>
      </c>
      <c r="G94" s="1117">
        <f>SUM(G87,G93)</f>
        <v>0</v>
      </c>
      <c r="H94" s="1154">
        <f t="shared" ref="H94:R94" si="65">SUM(H87,H93)</f>
        <v>0</v>
      </c>
      <c r="I94" s="1154">
        <f t="shared" si="65"/>
        <v>0</v>
      </c>
      <c r="J94" s="1154">
        <f t="shared" si="65"/>
        <v>0</v>
      </c>
      <c r="K94" s="1154">
        <f t="shared" si="65"/>
        <v>0</v>
      </c>
      <c r="L94" s="1154">
        <f t="shared" si="65"/>
        <v>0</v>
      </c>
      <c r="M94" s="1154">
        <f t="shared" si="65"/>
        <v>0</v>
      </c>
      <c r="N94" s="1154">
        <f t="shared" si="65"/>
        <v>0</v>
      </c>
      <c r="O94" s="1154">
        <f t="shared" si="65"/>
        <v>0</v>
      </c>
      <c r="P94" s="1154">
        <f t="shared" si="65"/>
        <v>0</v>
      </c>
      <c r="Q94" s="1154">
        <f t="shared" si="65"/>
        <v>0</v>
      </c>
      <c r="R94" s="1154">
        <f t="shared" si="65"/>
        <v>0</v>
      </c>
    </row>
    <row r="95" spans="2:18" s="258" customFormat="1" ht="5.25" customHeight="1" x14ac:dyDescent="0.25">
      <c r="B95" s="598"/>
      <c r="C95" s="598"/>
      <c r="D95" s="598"/>
      <c r="E95" s="599"/>
    </row>
    <row r="96" spans="2:18" s="258" customFormat="1" ht="5.25" customHeight="1" thickBot="1" x14ac:dyDescent="0.3">
      <c r="B96" s="598"/>
      <c r="C96" s="598"/>
      <c r="D96" s="598"/>
      <c r="E96" s="599"/>
    </row>
    <row r="97" spans="2:18" s="258" customFormat="1" ht="15" x14ac:dyDescent="0.25">
      <c r="B97" s="1147" t="s">
        <v>664</v>
      </c>
      <c r="C97" s="1148"/>
      <c r="D97" s="1161"/>
      <c r="E97" s="1161"/>
      <c r="F97" s="1161"/>
      <c r="G97" s="1161"/>
      <c r="H97" s="1161"/>
      <c r="I97" s="1161"/>
      <c r="J97" s="1161"/>
      <c r="K97" s="1161"/>
      <c r="L97" s="1161"/>
      <c r="M97" s="1161"/>
      <c r="N97" s="1161"/>
      <c r="O97" s="1161"/>
      <c r="P97" s="1161"/>
      <c r="Q97" s="1161"/>
      <c r="R97" s="1162"/>
    </row>
    <row r="98" spans="2:18" s="258" customFormat="1" ht="15" x14ac:dyDescent="0.25">
      <c r="B98" s="584" t="s">
        <v>213</v>
      </c>
      <c r="C98" s="231" t="s">
        <v>73</v>
      </c>
      <c r="D98" s="411">
        <f>IF(C99="Manual Entry",0,IF(C98="Yes",'3. Indoor Non-Potable Supply'!F158,0))</f>
        <v>0</v>
      </c>
      <c r="E98" s="585">
        <f>F98/365</f>
        <v>0</v>
      </c>
      <c r="F98" s="411">
        <f>SUM(D98)</f>
        <v>0</v>
      </c>
      <c r="G98" s="586">
        <f>IF($D$98=0,0,'3. Indoor Non-Potable Supply'!C58)</f>
        <v>0</v>
      </c>
      <c r="H98" s="586">
        <f>IF($D$98=0,0,'3. Indoor Non-Potable Supply'!D58)</f>
        <v>0</v>
      </c>
      <c r="I98" s="586">
        <f>IF($D$98=0,0,'3. Indoor Non-Potable Supply'!E58)</f>
        <v>0</v>
      </c>
      <c r="J98" s="586">
        <f>IF($D$98=0,0,'3. Indoor Non-Potable Supply'!F58)</f>
        <v>0</v>
      </c>
      <c r="K98" s="586">
        <f>IF($D$98=0,0,'3. Indoor Non-Potable Supply'!G58)</f>
        <v>0</v>
      </c>
      <c r="L98" s="586">
        <f>IF($D$98=0,0,'3. Indoor Non-Potable Supply'!H58)</f>
        <v>0</v>
      </c>
      <c r="M98" s="586">
        <f>IF($D$98=0,0,'3. Indoor Non-Potable Supply'!I58)</f>
        <v>0</v>
      </c>
      <c r="N98" s="586">
        <f>IF($D$98=0,0,'3. Indoor Non-Potable Supply'!J58)</f>
        <v>0</v>
      </c>
      <c r="O98" s="586">
        <f>IF($D$98=0,0,'3. Indoor Non-Potable Supply'!K58)</f>
        <v>0</v>
      </c>
      <c r="P98" s="586">
        <f>IF($D$98=0,0,'3. Indoor Non-Potable Supply'!L58)</f>
        <v>0</v>
      </c>
      <c r="Q98" s="586">
        <f>IF($D$98=0,0,'3. Indoor Non-Potable Supply'!M58)</f>
        <v>0</v>
      </c>
      <c r="R98" s="602">
        <f>IF($D$98=0,0,'3. Indoor Non-Potable Supply'!N58)</f>
        <v>0</v>
      </c>
    </row>
    <row r="99" spans="2:18" s="258" customFormat="1" ht="45.75" thickBot="1" x14ac:dyDescent="0.3">
      <c r="B99" s="588" t="s">
        <v>667</v>
      </c>
      <c r="C99" s="558" t="s">
        <v>646</v>
      </c>
      <c r="D99" s="1639">
        <f>IF(C99="Manual Entry",SUM('3. Indoor Non-Potable Supply'!C60:N60),0)</f>
        <v>0</v>
      </c>
      <c r="E99" s="589">
        <f>F99/365</f>
        <v>0</v>
      </c>
      <c r="F99" s="590">
        <f>IF(C99="Manual Entry",D99,0)</f>
        <v>0</v>
      </c>
      <c r="G99" s="591">
        <f>IF($C$99="Manual Entry",'3. Indoor Non-Potable Supply'!C60,0)</f>
        <v>0</v>
      </c>
      <c r="H99" s="591">
        <f>IF($C$99="Manual Entry",'3. Indoor Non-Potable Supply'!D60,0)</f>
        <v>0</v>
      </c>
      <c r="I99" s="591">
        <f>IF($C$99="Manual Entry",'3. Indoor Non-Potable Supply'!E60,0)</f>
        <v>0</v>
      </c>
      <c r="J99" s="591">
        <f>IF($C$99="Manual Entry",'3. Indoor Non-Potable Supply'!F60,0)</f>
        <v>0</v>
      </c>
      <c r="K99" s="591">
        <f>IF($C$99="Manual Entry",'3. Indoor Non-Potable Supply'!G60,0)</f>
        <v>0</v>
      </c>
      <c r="L99" s="591">
        <f>IF($C$99="Manual Entry",'3. Indoor Non-Potable Supply'!H60,0)</f>
        <v>0</v>
      </c>
      <c r="M99" s="591">
        <f>IF($C$99="Manual Entry",'3. Indoor Non-Potable Supply'!I60,0)</f>
        <v>0</v>
      </c>
      <c r="N99" s="591">
        <f>IF($C$99="Manual Entry",'3. Indoor Non-Potable Supply'!J60,0)</f>
        <v>0</v>
      </c>
      <c r="O99" s="591">
        <f>IF($C$99="Manual Entry",'3. Indoor Non-Potable Supply'!K60,0)</f>
        <v>0</v>
      </c>
      <c r="P99" s="591">
        <f>IF($C$99="Manual Entry",'3. Indoor Non-Potable Supply'!L60,0)</f>
        <v>0</v>
      </c>
      <c r="Q99" s="591">
        <f>IF($C$99="Manual Entry",'3. Indoor Non-Potable Supply'!M60,0)</f>
        <v>0</v>
      </c>
      <c r="R99" s="593">
        <f>IF($C$99="Manual Entry",'3. Indoor Non-Potable Supply'!N60,0)</f>
        <v>0</v>
      </c>
    </row>
    <row r="100" spans="2:18" s="258" customFormat="1" ht="16.5" thickTop="1" thickBot="1" x14ac:dyDescent="0.3">
      <c r="B100" s="1114" t="s">
        <v>610</v>
      </c>
      <c r="C100" s="1115"/>
      <c r="D100" s="1116">
        <f>IF(C99="Manual Entry",D99,D98)</f>
        <v>0</v>
      </c>
      <c r="E100" s="1117">
        <f>F100/365</f>
        <v>0</v>
      </c>
      <c r="F100" s="1116">
        <f>SUM(D100)</f>
        <v>0</v>
      </c>
      <c r="G100" s="1143">
        <f>G98+G99</f>
        <v>0</v>
      </c>
      <c r="H100" s="1143">
        <f t="shared" ref="H100:R100" si="66">H98+H99</f>
        <v>0</v>
      </c>
      <c r="I100" s="1143">
        <f t="shared" si="66"/>
        <v>0</v>
      </c>
      <c r="J100" s="1143">
        <f t="shared" si="66"/>
        <v>0</v>
      </c>
      <c r="K100" s="1143">
        <f t="shared" si="66"/>
        <v>0</v>
      </c>
      <c r="L100" s="1143">
        <f t="shared" si="66"/>
        <v>0</v>
      </c>
      <c r="M100" s="1143">
        <f t="shared" si="66"/>
        <v>0</v>
      </c>
      <c r="N100" s="1143">
        <f t="shared" si="66"/>
        <v>0</v>
      </c>
      <c r="O100" s="1143">
        <f t="shared" si="66"/>
        <v>0</v>
      </c>
      <c r="P100" s="1143">
        <f t="shared" si="66"/>
        <v>0</v>
      </c>
      <c r="Q100" s="1143">
        <f t="shared" si="66"/>
        <v>0</v>
      </c>
      <c r="R100" s="1164">
        <f t="shared" si="66"/>
        <v>0</v>
      </c>
    </row>
    <row r="101" spans="2:18" s="258" customFormat="1" ht="15.75" customHeight="1" x14ac:dyDescent="0.25">
      <c r="B101" s="598"/>
      <c r="C101" s="598"/>
      <c r="D101" s="598"/>
      <c r="E101" s="247"/>
      <c r="F101" s="247"/>
      <c r="G101" s="247"/>
      <c r="H101" s="247"/>
      <c r="I101" s="247"/>
      <c r="J101" s="247"/>
      <c r="K101" s="247"/>
      <c r="L101" s="247"/>
      <c r="M101" s="247"/>
      <c r="N101" s="247"/>
      <c r="O101" s="247"/>
      <c r="P101" s="247"/>
      <c r="Q101" s="247"/>
    </row>
    <row r="102" spans="2:18" s="258" customFormat="1" ht="51.75" customHeight="1" thickBot="1" x14ac:dyDescent="0.3">
      <c r="B102" s="1803" t="s">
        <v>715</v>
      </c>
      <c r="C102" s="1803"/>
      <c r="D102" s="1803"/>
      <c r="E102" s="1803"/>
      <c r="F102" s="1803"/>
      <c r="G102" s="1803"/>
      <c r="H102" s="1803"/>
      <c r="I102" s="1803"/>
      <c r="J102" s="1803"/>
      <c r="K102" s="1803"/>
      <c r="L102" s="1803"/>
      <c r="M102" s="1803"/>
      <c r="N102" s="1803"/>
      <c r="O102" s="1803"/>
      <c r="P102" s="1803"/>
      <c r="Q102" s="1803"/>
      <c r="R102" s="1803"/>
    </row>
    <row r="103" spans="2:18" s="258" customFormat="1" ht="15.75" thickBot="1" x14ac:dyDescent="0.3">
      <c r="B103" s="1165" t="s">
        <v>665</v>
      </c>
      <c r="C103" s="1166"/>
      <c r="D103" s="1167"/>
      <c r="E103" s="1167"/>
      <c r="F103" s="1167"/>
      <c r="G103" s="1167"/>
      <c r="H103" s="1167"/>
      <c r="I103" s="1167"/>
      <c r="J103" s="1167"/>
      <c r="K103" s="1167"/>
      <c r="L103" s="1167"/>
      <c r="M103" s="1167"/>
      <c r="N103" s="1167"/>
      <c r="O103" s="1167"/>
      <c r="P103" s="1167"/>
      <c r="Q103" s="1167"/>
      <c r="R103" s="1168"/>
    </row>
    <row r="104" spans="2:18" s="258" customFormat="1" ht="15.75" thickBot="1" x14ac:dyDescent="0.3">
      <c r="B104" s="603" t="s">
        <v>541</v>
      </c>
      <c r="C104" s="559" t="s">
        <v>73</v>
      </c>
      <c r="D104" s="604">
        <f>IF(C106="Manual Entry",0,IF(C104="Yes",'3. Indoor Non-Potable Supply'!F157,0))</f>
        <v>0</v>
      </c>
      <c r="E104" s="605">
        <f t="shared" ref="E104" si="67">F104/365</f>
        <v>0</v>
      </c>
      <c r="F104" s="604">
        <f>SUM(D104)</f>
        <v>0</v>
      </c>
      <c r="G104" s="606">
        <f t="shared" ref="G104:R104" si="68">$F104/12</f>
        <v>0</v>
      </c>
      <c r="H104" s="607">
        <f t="shared" si="68"/>
        <v>0</v>
      </c>
      <c r="I104" s="607">
        <f t="shared" si="68"/>
        <v>0</v>
      </c>
      <c r="J104" s="607">
        <f t="shared" si="68"/>
        <v>0</v>
      </c>
      <c r="K104" s="607">
        <f t="shared" si="68"/>
        <v>0</v>
      </c>
      <c r="L104" s="607">
        <f t="shared" si="68"/>
        <v>0</v>
      </c>
      <c r="M104" s="607">
        <f t="shared" si="68"/>
        <v>0</v>
      </c>
      <c r="N104" s="607">
        <f t="shared" si="68"/>
        <v>0</v>
      </c>
      <c r="O104" s="607">
        <f t="shared" si="68"/>
        <v>0</v>
      </c>
      <c r="P104" s="607">
        <f t="shared" si="68"/>
        <v>0</v>
      </c>
      <c r="Q104" s="607">
        <f t="shared" si="68"/>
        <v>0</v>
      </c>
      <c r="R104" s="604">
        <f t="shared" si="68"/>
        <v>0</v>
      </c>
    </row>
    <row r="105" spans="2:18" s="258" customFormat="1" ht="30.75" thickBot="1" x14ac:dyDescent="0.3">
      <c r="B105" s="608" t="s">
        <v>608</v>
      </c>
      <c r="C105" s="609"/>
      <c r="D105" s="610"/>
      <c r="E105" s="611"/>
      <c r="F105" s="611"/>
      <c r="G105" s="611"/>
      <c r="H105" s="611"/>
      <c r="I105" s="611"/>
      <c r="J105" s="611"/>
      <c r="K105" s="611"/>
      <c r="L105" s="611"/>
      <c r="M105" s="611"/>
      <c r="N105" s="611"/>
      <c r="O105" s="611"/>
      <c r="P105" s="611"/>
      <c r="Q105" s="611"/>
      <c r="R105" s="612"/>
    </row>
    <row r="106" spans="2:18" s="258" customFormat="1" ht="30.75" thickBot="1" x14ac:dyDescent="0.3">
      <c r="B106" s="613" t="s">
        <v>666</v>
      </c>
      <c r="C106" s="560" t="s">
        <v>587</v>
      </c>
      <c r="D106" s="1643">
        <f>IF(C106="Manual Entry",SUM(G106:R106),0)</f>
        <v>0</v>
      </c>
      <c r="E106" s="614">
        <f>F106/365</f>
        <v>0</v>
      </c>
      <c r="F106" s="615">
        <f>IF(C106="Manual Entry",D106,0)</f>
        <v>0</v>
      </c>
      <c r="G106" s="1644"/>
      <c r="H106" s="1645"/>
      <c r="I106" s="1645"/>
      <c r="J106" s="1645"/>
      <c r="K106" s="1645"/>
      <c r="L106" s="1645"/>
      <c r="M106" s="1645"/>
      <c r="N106" s="1645"/>
      <c r="O106" s="1645"/>
      <c r="P106" s="1645"/>
      <c r="Q106" s="1645"/>
      <c r="R106" s="1646"/>
    </row>
    <row r="107" spans="2:18" s="258" customFormat="1" ht="16.5" thickTop="1" thickBot="1" x14ac:dyDescent="0.3">
      <c r="B107" s="1169" t="s">
        <v>609</v>
      </c>
      <c r="C107" s="1170"/>
      <c r="D107" s="1171">
        <f>IF(C106="Manual Entry",D106,D104)</f>
        <v>0</v>
      </c>
      <c r="E107" s="1158">
        <f>F107/365</f>
        <v>0</v>
      </c>
      <c r="F107" s="1157">
        <f>SUM(D107)</f>
        <v>0</v>
      </c>
      <c r="G107" s="1172">
        <f t="shared" ref="G107:R107" si="69">G104+IF($C$106="Manual Entry",G106,0)</f>
        <v>0</v>
      </c>
      <c r="H107" s="1172">
        <f t="shared" si="69"/>
        <v>0</v>
      </c>
      <c r="I107" s="1172">
        <f t="shared" si="69"/>
        <v>0</v>
      </c>
      <c r="J107" s="1172">
        <f t="shared" si="69"/>
        <v>0</v>
      </c>
      <c r="K107" s="1172">
        <f t="shared" si="69"/>
        <v>0</v>
      </c>
      <c r="L107" s="1172">
        <f t="shared" si="69"/>
        <v>0</v>
      </c>
      <c r="M107" s="1172">
        <f t="shared" si="69"/>
        <v>0</v>
      </c>
      <c r="N107" s="1172">
        <f t="shared" si="69"/>
        <v>0</v>
      </c>
      <c r="O107" s="1172">
        <f t="shared" si="69"/>
        <v>0</v>
      </c>
      <c r="P107" s="1172">
        <f t="shared" si="69"/>
        <v>0</v>
      </c>
      <c r="Q107" s="1172">
        <f t="shared" si="69"/>
        <v>0</v>
      </c>
      <c r="R107" s="1173">
        <f t="shared" si="69"/>
        <v>0</v>
      </c>
    </row>
    <row r="108" spans="2:18" s="258" customFormat="1" ht="16.5" thickTop="1" thickBot="1" x14ac:dyDescent="0.3">
      <c r="B108" s="1152" t="s">
        <v>545</v>
      </c>
      <c r="C108" s="1140"/>
      <c r="D108" s="1141">
        <f t="shared" ref="D108:R108" si="70">SUM(D100,D107)</f>
        <v>0</v>
      </c>
      <c r="E108" s="1142">
        <f t="shared" si="70"/>
        <v>0</v>
      </c>
      <c r="F108" s="1153">
        <f t="shared" si="70"/>
        <v>0</v>
      </c>
      <c r="G108" s="1142">
        <f t="shared" si="70"/>
        <v>0</v>
      </c>
      <c r="H108" s="1144">
        <f t="shared" si="70"/>
        <v>0</v>
      </c>
      <c r="I108" s="1144">
        <f t="shared" si="70"/>
        <v>0</v>
      </c>
      <c r="J108" s="1144">
        <f t="shared" si="70"/>
        <v>0</v>
      </c>
      <c r="K108" s="1144">
        <f t="shared" si="70"/>
        <v>0</v>
      </c>
      <c r="L108" s="1144">
        <f t="shared" si="70"/>
        <v>0</v>
      </c>
      <c r="M108" s="1144">
        <f t="shared" si="70"/>
        <v>0</v>
      </c>
      <c r="N108" s="1144">
        <f t="shared" si="70"/>
        <v>0</v>
      </c>
      <c r="O108" s="1144">
        <f t="shared" si="70"/>
        <v>0</v>
      </c>
      <c r="P108" s="1144">
        <f t="shared" si="70"/>
        <v>0</v>
      </c>
      <c r="Q108" s="1144">
        <f t="shared" si="70"/>
        <v>0</v>
      </c>
      <c r="R108" s="1141">
        <f t="shared" si="70"/>
        <v>0</v>
      </c>
    </row>
    <row r="109" spans="2:18" s="258" customFormat="1" ht="9.75" customHeight="1" thickBot="1" x14ac:dyDescent="0.3">
      <c r="B109" s="598"/>
      <c r="C109" s="598"/>
      <c r="D109" s="598"/>
    </row>
    <row r="110" spans="2:18" s="258" customFormat="1" ht="15.75" thickBot="1" x14ac:dyDescent="0.3">
      <c r="B110" s="1174" t="s">
        <v>543</v>
      </c>
      <c r="C110" s="1175"/>
      <c r="D110" s="1176">
        <f t="shared" ref="D110:R110" si="71">SUM(D79,D94,D108)</f>
        <v>0</v>
      </c>
      <c r="E110" s="1177">
        <f t="shared" si="71"/>
        <v>0</v>
      </c>
      <c r="F110" s="1177">
        <f t="shared" si="71"/>
        <v>0</v>
      </c>
      <c r="G110" s="1177">
        <f t="shared" si="71"/>
        <v>0</v>
      </c>
      <c r="H110" s="1178">
        <f t="shared" si="71"/>
        <v>0</v>
      </c>
      <c r="I110" s="1178">
        <f t="shared" si="71"/>
        <v>0</v>
      </c>
      <c r="J110" s="1178">
        <f t="shared" si="71"/>
        <v>0</v>
      </c>
      <c r="K110" s="1178">
        <f t="shared" si="71"/>
        <v>0</v>
      </c>
      <c r="L110" s="1178">
        <f t="shared" si="71"/>
        <v>0</v>
      </c>
      <c r="M110" s="1178">
        <f t="shared" si="71"/>
        <v>0</v>
      </c>
      <c r="N110" s="1178">
        <f t="shared" si="71"/>
        <v>0</v>
      </c>
      <c r="O110" s="1178">
        <f t="shared" si="71"/>
        <v>0</v>
      </c>
      <c r="P110" s="1178">
        <f t="shared" si="71"/>
        <v>0</v>
      </c>
      <c r="Q110" s="1178">
        <f t="shared" si="71"/>
        <v>0</v>
      </c>
      <c r="R110" s="1176">
        <f t="shared" si="71"/>
        <v>0</v>
      </c>
    </row>
    <row r="111" spans="2:18" s="258" customFormat="1" ht="15.75" thickTop="1" x14ac:dyDescent="0.25">
      <c r="B111" s="1179" t="s">
        <v>547</v>
      </c>
      <c r="C111" s="1180"/>
      <c r="D111" s="1181">
        <f>SUM(D72,D87)</f>
        <v>0</v>
      </c>
      <c r="E111" s="1181">
        <f>SUM(E68:E70,E82:E85)</f>
        <v>0</v>
      </c>
      <c r="F111" s="1181">
        <f t="shared" ref="F111:R111" si="72">SUM(F72,F87)</f>
        <v>0</v>
      </c>
      <c r="G111" s="1182">
        <f t="shared" si="72"/>
        <v>0</v>
      </c>
      <c r="H111" s="1183">
        <f t="shared" si="72"/>
        <v>0</v>
      </c>
      <c r="I111" s="1183">
        <f t="shared" si="72"/>
        <v>0</v>
      </c>
      <c r="J111" s="1183">
        <f t="shared" si="72"/>
        <v>0</v>
      </c>
      <c r="K111" s="1183">
        <f t="shared" si="72"/>
        <v>0</v>
      </c>
      <c r="L111" s="1183">
        <f t="shared" si="72"/>
        <v>0</v>
      </c>
      <c r="M111" s="1183">
        <f t="shared" si="72"/>
        <v>0</v>
      </c>
      <c r="N111" s="1183">
        <f t="shared" si="72"/>
        <v>0</v>
      </c>
      <c r="O111" s="1183">
        <f t="shared" si="72"/>
        <v>0</v>
      </c>
      <c r="P111" s="1183">
        <f t="shared" si="72"/>
        <v>0</v>
      </c>
      <c r="Q111" s="1183">
        <f t="shared" si="72"/>
        <v>0</v>
      </c>
      <c r="R111" s="1181">
        <f t="shared" si="72"/>
        <v>0</v>
      </c>
    </row>
    <row r="112" spans="2:18" s="258" customFormat="1" ht="15.75" thickBot="1" x14ac:dyDescent="0.3">
      <c r="B112" s="1184" t="s">
        <v>548</v>
      </c>
      <c r="C112" s="1185"/>
      <c r="D112" s="963">
        <f t="shared" ref="D112:R112" si="73">SUM(D79,D94)</f>
        <v>0</v>
      </c>
      <c r="E112" s="963">
        <f t="shared" si="73"/>
        <v>0</v>
      </c>
      <c r="F112" s="963">
        <f t="shared" si="73"/>
        <v>0</v>
      </c>
      <c r="G112" s="1186">
        <f t="shared" si="73"/>
        <v>0</v>
      </c>
      <c r="H112" s="962">
        <f t="shared" si="73"/>
        <v>0</v>
      </c>
      <c r="I112" s="962">
        <f t="shared" si="73"/>
        <v>0</v>
      </c>
      <c r="J112" s="962">
        <f t="shared" si="73"/>
        <v>0</v>
      </c>
      <c r="K112" s="962">
        <f t="shared" si="73"/>
        <v>0</v>
      </c>
      <c r="L112" s="962">
        <f t="shared" si="73"/>
        <v>0</v>
      </c>
      <c r="M112" s="962">
        <f t="shared" si="73"/>
        <v>0</v>
      </c>
      <c r="N112" s="962">
        <f t="shared" si="73"/>
        <v>0</v>
      </c>
      <c r="O112" s="962">
        <f t="shared" si="73"/>
        <v>0</v>
      </c>
      <c r="P112" s="962">
        <f t="shared" si="73"/>
        <v>0</v>
      </c>
      <c r="Q112" s="962">
        <f t="shared" si="73"/>
        <v>0</v>
      </c>
      <c r="R112" s="963">
        <f t="shared" si="73"/>
        <v>0</v>
      </c>
    </row>
    <row r="113" spans="2:18" s="258" customFormat="1" ht="12.75" customHeight="1" x14ac:dyDescent="0.25">
      <c r="B113" s="616" t="s">
        <v>551</v>
      </c>
      <c r="C113" s="598"/>
      <c r="D113" s="598"/>
      <c r="E113" s="599"/>
    </row>
    <row r="114" spans="2:18" s="258" customFormat="1" ht="13.5" customHeight="1" thickBot="1" x14ac:dyDescent="0.3">
      <c r="B114" s="1258"/>
      <c r="C114" s="1258"/>
      <c r="D114" s="1258"/>
      <c r="E114" s="599"/>
    </row>
    <row r="115" spans="2:18" s="258" customFormat="1" ht="15.75" thickBot="1" x14ac:dyDescent="0.3">
      <c r="B115" s="1258"/>
      <c r="C115" s="1097" t="str">
        <f>'1. Building Information'!$B$53</f>
        <v>SITE: Project Name -- Project Address</v>
      </c>
      <c r="D115" s="1098"/>
      <c r="E115" s="1258"/>
      <c r="F115" s="599"/>
      <c r="G115" s="1187" t="s">
        <v>224</v>
      </c>
      <c r="H115" s="1188"/>
      <c r="I115" s="1188"/>
      <c r="J115" s="1188"/>
      <c r="K115" s="1188"/>
      <c r="L115" s="1188"/>
      <c r="M115" s="1188"/>
      <c r="N115" s="1188"/>
      <c r="O115" s="1188"/>
      <c r="P115" s="1188"/>
      <c r="Q115" s="1188"/>
      <c r="R115" s="1189"/>
    </row>
    <row r="116" spans="2:18" s="258" customFormat="1" ht="30" x14ac:dyDescent="0.25">
      <c r="B116" s="1190" t="s">
        <v>214</v>
      </c>
      <c r="C116" s="943" t="s">
        <v>463</v>
      </c>
      <c r="D116" s="945" t="s">
        <v>219</v>
      </c>
      <c r="E116" s="1050" t="s">
        <v>218</v>
      </c>
      <c r="F116" s="1052" t="s">
        <v>219</v>
      </c>
      <c r="G116" s="943" t="s">
        <v>28</v>
      </c>
      <c r="H116" s="944" t="s">
        <v>29</v>
      </c>
      <c r="I116" s="944" t="s">
        <v>30</v>
      </c>
      <c r="J116" s="944" t="s">
        <v>31</v>
      </c>
      <c r="K116" s="944" t="s">
        <v>32</v>
      </c>
      <c r="L116" s="944" t="s">
        <v>33</v>
      </c>
      <c r="M116" s="944" t="s">
        <v>8</v>
      </c>
      <c r="N116" s="944" t="s">
        <v>9</v>
      </c>
      <c r="O116" s="944" t="s">
        <v>0</v>
      </c>
      <c r="P116" s="944" t="s">
        <v>2</v>
      </c>
      <c r="Q116" s="944" t="s">
        <v>3</v>
      </c>
      <c r="R116" s="945" t="s">
        <v>4</v>
      </c>
    </row>
    <row r="117" spans="2:18" s="258" customFormat="1" ht="15" x14ac:dyDescent="0.25">
      <c r="B117" s="617" t="s">
        <v>491</v>
      </c>
      <c r="C117" s="561" t="s">
        <v>493</v>
      </c>
      <c r="D117" s="1191"/>
      <c r="E117" s="1192"/>
      <c r="F117" s="1193"/>
      <c r="G117" s="1192"/>
      <c r="H117" s="1193"/>
      <c r="I117" s="1193"/>
      <c r="J117" s="1193"/>
      <c r="K117" s="1193"/>
      <c r="L117" s="1193"/>
      <c r="M117" s="1193"/>
      <c r="N117" s="1193"/>
      <c r="O117" s="1193"/>
      <c r="P117" s="1193"/>
      <c r="Q117" s="1193"/>
      <c r="R117" s="1194"/>
    </row>
    <row r="118" spans="2:18" s="258" customFormat="1" ht="14.25" customHeight="1" x14ac:dyDescent="0.25">
      <c r="B118" s="618" t="s">
        <v>102</v>
      </c>
      <c r="C118" s="619" t="str">
        <f>IF(C117="Graywater","Yes","No")</f>
        <v>No</v>
      </c>
      <c r="D118" s="411">
        <f>IF(C118="Yes",D111,0)</f>
        <v>0</v>
      </c>
      <c r="E118" s="282">
        <f>F118/365</f>
        <v>0</v>
      </c>
      <c r="F118" s="620">
        <f>SUM(D118)</f>
        <v>0</v>
      </c>
      <c r="G118" s="282">
        <f t="shared" ref="G118:R119" si="74">$F118/12</f>
        <v>0</v>
      </c>
      <c r="H118" s="283">
        <f t="shared" si="74"/>
        <v>0</v>
      </c>
      <c r="I118" s="283">
        <f t="shared" si="74"/>
        <v>0</v>
      </c>
      <c r="J118" s="283">
        <f t="shared" si="74"/>
        <v>0</v>
      </c>
      <c r="K118" s="283">
        <f t="shared" si="74"/>
        <v>0</v>
      </c>
      <c r="L118" s="283">
        <f t="shared" si="74"/>
        <v>0</v>
      </c>
      <c r="M118" s="283">
        <f t="shared" si="74"/>
        <v>0</v>
      </c>
      <c r="N118" s="283">
        <f t="shared" si="74"/>
        <v>0</v>
      </c>
      <c r="O118" s="283">
        <f t="shared" si="74"/>
        <v>0</v>
      </c>
      <c r="P118" s="283">
        <f t="shared" si="74"/>
        <v>0</v>
      </c>
      <c r="Q118" s="283">
        <f t="shared" si="74"/>
        <v>0</v>
      </c>
      <c r="R118" s="621">
        <f t="shared" si="74"/>
        <v>0</v>
      </c>
    </row>
    <row r="119" spans="2:18" s="258" customFormat="1" ht="15" x14ac:dyDescent="0.25">
      <c r="B119" s="622" t="s">
        <v>127</v>
      </c>
      <c r="C119" s="623" t="str">
        <f>IF(C117="Blackwater","Yes","No")</f>
        <v>No</v>
      </c>
      <c r="D119" s="624">
        <f>IF(C119="Yes",D112,0)</f>
        <v>0</v>
      </c>
      <c r="E119" s="625">
        <f t="shared" ref="E119:E121" si="75">F119/365</f>
        <v>0</v>
      </c>
      <c r="F119" s="626">
        <f>SUM(D119)</f>
        <v>0</v>
      </c>
      <c r="G119" s="625">
        <f t="shared" si="74"/>
        <v>0</v>
      </c>
      <c r="H119" s="627">
        <f t="shared" si="74"/>
        <v>0</v>
      </c>
      <c r="I119" s="627">
        <f t="shared" si="74"/>
        <v>0</v>
      </c>
      <c r="J119" s="627">
        <f t="shared" si="74"/>
        <v>0</v>
      </c>
      <c r="K119" s="627">
        <f t="shared" si="74"/>
        <v>0</v>
      </c>
      <c r="L119" s="627">
        <f t="shared" si="74"/>
        <v>0</v>
      </c>
      <c r="M119" s="627">
        <f t="shared" si="74"/>
        <v>0</v>
      </c>
      <c r="N119" s="627">
        <f t="shared" si="74"/>
        <v>0</v>
      </c>
      <c r="O119" s="627">
        <f t="shared" si="74"/>
        <v>0</v>
      </c>
      <c r="P119" s="627">
        <f t="shared" si="74"/>
        <v>0</v>
      </c>
      <c r="Q119" s="627">
        <f t="shared" si="74"/>
        <v>0</v>
      </c>
      <c r="R119" s="628">
        <f t="shared" si="74"/>
        <v>0</v>
      </c>
    </row>
    <row r="120" spans="2:18" s="258" customFormat="1" ht="7.5" customHeight="1" x14ac:dyDescent="0.25">
      <c r="B120" s="1195"/>
      <c r="C120" s="1196"/>
      <c r="D120" s="1197"/>
      <c r="E120" s="1192"/>
      <c r="F120" s="1198"/>
      <c r="G120" s="1192"/>
      <c r="H120" s="1193"/>
      <c r="I120" s="1193"/>
      <c r="J120" s="1193"/>
      <c r="K120" s="1193"/>
      <c r="L120" s="1193"/>
      <c r="M120" s="1193"/>
      <c r="N120" s="1193"/>
      <c r="O120" s="1193"/>
      <c r="P120" s="1193"/>
      <c r="Q120" s="1193"/>
      <c r="R120" s="1194"/>
    </row>
    <row r="121" spans="2:18" s="258" customFormat="1" ht="15.75" thickBot="1" x14ac:dyDescent="0.3">
      <c r="B121" s="629" t="s">
        <v>542</v>
      </c>
      <c r="C121" s="562" t="s">
        <v>73</v>
      </c>
      <c r="D121" s="630">
        <f>IF(C121="Yes",D108,0)</f>
        <v>0</v>
      </c>
      <c r="E121" s="286">
        <f t="shared" si="75"/>
        <v>0</v>
      </c>
      <c r="F121" s="631">
        <f>SUM(D121)</f>
        <v>0</v>
      </c>
      <c r="G121" s="286">
        <f t="shared" ref="G121:R121" si="76">IF($C$121="Yes",G108,0)</f>
        <v>0</v>
      </c>
      <c r="H121" s="287">
        <f t="shared" si="76"/>
        <v>0</v>
      </c>
      <c r="I121" s="287">
        <f t="shared" si="76"/>
        <v>0</v>
      </c>
      <c r="J121" s="287">
        <f t="shared" si="76"/>
        <v>0</v>
      </c>
      <c r="K121" s="287">
        <f t="shared" si="76"/>
        <v>0</v>
      </c>
      <c r="L121" s="287">
        <f t="shared" si="76"/>
        <v>0</v>
      </c>
      <c r="M121" s="287">
        <f t="shared" si="76"/>
        <v>0</v>
      </c>
      <c r="N121" s="287">
        <f t="shared" si="76"/>
        <v>0</v>
      </c>
      <c r="O121" s="287">
        <f t="shared" si="76"/>
        <v>0</v>
      </c>
      <c r="P121" s="287">
        <f t="shared" si="76"/>
        <v>0</v>
      </c>
      <c r="Q121" s="287">
        <f t="shared" si="76"/>
        <v>0</v>
      </c>
      <c r="R121" s="632">
        <f t="shared" si="76"/>
        <v>0</v>
      </c>
    </row>
    <row r="122" spans="2:18" s="258" customFormat="1" ht="16.5" thickTop="1" thickBot="1" x14ac:dyDescent="0.3">
      <c r="B122" s="1199" t="s">
        <v>20</v>
      </c>
      <c r="C122" s="1140"/>
      <c r="D122" s="1141">
        <f t="shared" ref="D122:R122" si="77">SUM(D118:D121)</f>
        <v>0</v>
      </c>
      <c r="E122" s="1142">
        <f t="shared" si="77"/>
        <v>0</v>
      </c>
      <c r="F122" s="1153">
        <f t="shared" si="77"/>
        <v>0</v>
      </c>
      <c r="G122" s="1142">
        <f t="shared" si="77"/>
        <v>0</v>
      </c>
      <c r="H122" s="1144">
        <f t="shared" si="77"/>
        <v>0</v>
      </c>
      <c r="I122" s="1144">
        <f t="shared" si="77"/>
        <v>0</v>
      </c>
      <c r="J122" s="1144">
        <f t="shared" si="77"/>
        <v>0</v>
      </c>
      <c r="K122" s="1144">
        <f t="shared" si="77"/>
        <v>0</v>
      </c>
      <c r="L122" s="1144">
        <f t="shared" si="77"/>
        <v>0</v>
      </c>
      <c r="M122" s="1144">
        <f t="shared" si="77"/>
        <v>0</v>
      </c>
      <c r="N122" s="1144">
        <f t="shared" si="77"/>
        <v>0</v>
      </c>
      <c r="O122" s="1144">
        <f t="shared" si="77"/>
        <v>0</v>
      </c>
      <c r="P122" s="1144">
        <f t="shared" si="77"/>
        <v>0</v>
      </c>
      <c r="Q122" s="1144">
        <f t="shared" si="77"/>
        <v>0</v>
      </c>
      <c r="R122" s="1141">
        <f t="shared" si="77"/>
        <v>0</v>
      </c>
    </row>
    <row r="123" spans="2:18" s="258" customFormat="1" ht="15" x14ac:dyDescent="0.25">
      <c r="B123" s="309" t="s">
        <v>163</v>
      </c>
      <c r="C123" s="599"/>
      <c r="D123" s="633"/>
      <c r="E123" s="633"/>
      <c r="F123" s="633"/>
      <c r="G123" s="633"/>
      <c r="H123" s="633"/>
      <c r="I123" s="633"/>
      <c r="J123" s="633"/>
      <c r="K123" s="633"/>
      <c r="L123" s="633"/>
      <c r="M123" s="633"/>
      <c r="N123" s="633"/>
      <c r="O123" s="633"/>
      <c r="P123" s="633"/>
      <c r="Q123" s="633"/>
    </row>
    <row r="124" spans="2:18" s="258" customFormat="1" ht="15" x14ac:dyDescent="0.25">
      <c r="B124" s="245" t="s">
        <v>252</v>
      </c>
      <c r="C124" s="599"/>
      <c r="D124" s="633"/>
      <c r="E124" s="633"/>
      <c r="F124" s="633"/>
      <c r="G124" s="633"/>
      <c r="H124" s="633"/>
      <c r="I124" s="633"/>
      <c r="J124" s="633"/>
      <c r="K124" s="633"/>
      <c r="L124" s="633"/>
      <c r="M124" s="633"/>
      <c r="N124" s="633"/>
      <c r="O124" s="633"/>
      <c r="P124" s="633"/>
      <c r="Q124" s="633"/>
    </row>
    <row r="125" spans="2:18" s="258" customFormat="1" ht="15" x14ac:dyDescent="0.25">
      <c r="B125" s="245" t="s">
        <v>279</v>
      </c>
      <c r="C125" s="599"/>
      <c r="D125" s="633"/>
      <c r="E125" s="633"/>
      <c r="F125" s="633"/>
      <c r="G125" s="633"/>
      <c r="H125" s="633"/>
      <c r="I125" s="633"/>
      <c r="J125" s="633"/>
      <c r="K125" s="633"/>
      <c r="L125" s="633"/>
      <c r="M125" s="633"/>
      <c r="N125" s="633"/>
      <c r="O125" s="633"/>
      <c r="P125" s="633"/>
      <c r="Q125" s="633"/>
    </row>
    <row r="126" spans="2:18" s="258" customFormat="1" ht="15" x14ac:dyDescent="0.25">
      <c r="B126" s="245"/>
      <c r="C126" s="599"/>
      <c r="D126" s="633"/>
      <c r="E126" s="633"/>
      <c r="F126" s="633"/>
      <c r="G126" s="633"/>
      <c r="H126" s="633"/>
      <c r="I126" s="633"/>
      <c r="J126" s="633"/>
      <c r="K126" s="633"/>
      <c r="L126" s="633"/>
      <c r="M126" s="633"/>
      <c r="N126" s="633"/>
      <c r="O126" s="633"/>
      <c r="P126" s="633"/>
      <c r="Q126" s="633"/>
    </row>
    <row r="127" spans="2:18" s="258" customFormat="1" ht="31.5" customHeight="1" thickBot="1" x14ac:dyDescent="0.3">
      <c r="B127" s="245"/>
      <c r="C127" s="1804" t="str">
        <f>IF((AND(C130="Yes",Rainwater!B10&lt;Rainwater!B14)),"One or more Cistern volumes is low; see embedded comment in B128","")</f>
        <v/>
      </c>
      <c r="D127" s="1804"/>
      <c r="E127" s="633"/>
      <c r="F127" s="633"/>
      <c r="G127" s="633"/>
      <c r="H127" s="633"/>
      <c r="I127" s="633"/>
      <c r="J127" s="633"/>
      <c r="K127" s="633"/>
      <c r="L127" s="633"/>
      <c r="M127" s="633"/>
      <c r="N127" s="633"/>
      <c r="O127" s="633"/>
      <c r="P127" s="633"/>
      <c r="Q127" s="633"/>
    </row>
    <row r="128" spans="2:18" s="258" customFormat="1" ht="30.75" thickBot="1" x14ac:dyDescent="0.3">
      <c r="B128" s="1647" t="s">
        <v>780</v>
      </c>
      <c r="C128" s="1200" t="str">
        <f>'1. Building Information'!$B$53</f>
        <v>SITE: Project Name -- Project Address</v>
      </c>
      <c r="D128" s="1201"/>
      <c r="F128" s="247"/>
      <c r="G128" s="1202" t="s">
        <v>224</v>
      </c>
      <c r="H128" s="1203"/>
      <c r="I128" s="1203"/>
      <c r="J128" s="1203"/>
      <c r="K128" s="1203"/>
      <c r="L128" s="1203"/>
      <c r="M128" s="1203"/>
      <c r="N128" s="1203"/>
      <c r="O128" s="1203"/>
      <c r="P128" s="1203"/>
      <c r="Q128" s="1203"/>
      <c r="R128" s="1204"/>
    </row>
    <row r="129" spans="2:18" s="258" customFormat="1" ht="45" x14ac:dyDescent="0.25">
      <c r="B129" s="1205" t="s">
        <v>214</v>
      </c>
      <c r="C129" s="1058" t="s">
        <v>223</v>
      </c>
      <c r="D129" s="1087" t="s">
        <v>250</v>
      </c>
      <c r="E129" s="1206" t="s">
        <v>218</v>
      </c>
      <c r="F129" s="1145" t="s">
        <v>219</v>
      </c>
      <c r="G129" s="1105" t="s">
        <v>28</v>
      </c>
      <c r="H129" s="1207" t="s">
        <v>29</v>
      </c>
      <c r="I129" s="1207" t="s">
        <v>30</v>
      </c>
      <c r="J129" s="1207" t="s">
        <v>31</v>
      </c>
      <c r="K129" s="1207" t="s">
        <v>32</v>
      </c>
      <c r="L129" s="1207" t="s">
        <v>33</v>
      </c>
      <c r="M129" s="1207" t="s">
        <v>8</v>
      </c>
      <c r="N129" s="1207" t="s">
        <v>9</v>
      </c>
      <c r="O129" s="1207" t="s">
        <v>0</v>
      </c>
      <c r="P129" s="1207" t="s">
        <v>2</v>
      </c>
      <c r="Q129" s="1207" t="s">
        <v>3</v>
      </c>
      <c r="R129" s="1106" t="s">
        <v>4</v>
      </c>
    </row>
    <row r="130" spans="2:18" s="258" customFormat="1" ht="15" x14ac:dyDescent="0.25">
      <c r="B130" s="634" t="s">
        <v>177</v>
      </c>
      <c r="C130" s="231" t="s">
        <v>73</v>
      </c>
      <c r="D130" s="563"/>
      <c r="E130" s="1192"/>
      <c r="F130" s="1193"/>
      <c r="G130" s="1192"/>
      <c r="H130" s="1193"/>
      <c r="I130" s="1193"/>
      <c r="J130" s="1193"/>
      <c r="K130" s="1193"/>
      <c r="L130" s="1193"/>
      <c r="M130" s="1193"/>
      <c r="N130" s="1193"/>
      <c r="O130" s="1193"/>
      <c r="P130" s="1193"/>
      <c r="Q130" s="1193"/>
      <c r="R130" s="1194"/>
    </row>
    <row r="131" spans="2:18" s="258" customFormat="1" ht="15" x14ac:dyDescent="0.25">
      <c r="B131" s="635" t="s">
        <v>219</v>
      </c>
      <c r="C131" s="585">
        <f>IF(C132="Manual Entry",0,IF(C130="Yes",Rainwater!B38,0))</f>
        <v>0</v>
      </c>
      <c r="D131" s="1208" t="s">
        <v>124</v>
      </c>
      <c r="E131" s="636">
        <f>F131/365</f>
        <v>0</v>
      </c>
      <c r="F131" s="637">
        <f>IF(C132="None",C131,0)</f>
        <v>0</v>
      </c>
      <c r="G131" s="585">
        <f>IF($C$131=0,0,Rainwater!C38)</f>
        <v>0</v>
      </c>
      <c r="H131" s="587">
        <f>IF($C$131=0,0,Rainwater!D38)</f>
        <v>0</v>
      </c>
      <c r="I131" s="587">
        <f>IF($C$131=0,0,Rainwater!E38)</f>
        <v>0</v>
      </c>
      <c r="J131" s="587">
        <f>IF($C$131=0,0,Rainwater!F38)</f>
        <v>0</v>
      </c>
      <c r="K131" s="587">
        <f>IF($C$131=0,0,Rainwater!G38)</f>
        <v>0</v>
      </c>
      <c r="L131" s="587">
        <f>IF($C$131=0,0,Rainwater!H38)</f>
        <v>0</v>
      </c>
      <c r="M131" s="587">
        <f>IF($C$131=0,0,Rainwater!I38)</f>
        <v>0</v>
      </c>
      <c r="N131" s="587">
        <f>IF($C$131=0,0,Rainwater!J38)</f>
        <v>0</v>
      </c>
      <c r="O131" s="587">
        <f>IF($C$131=0,0,Rainwater!K38)</f>
        <v>0</v>
      </c>
      <c r="P131" s="587">
        <f>IF($C$131=0,0,Rainwater!L38)</f>
        <v>0</v>
      </c>
      <c r="Q131" s="587">
        <f>IF($C$131=0,0,Rainwater!M38)</f>
        <v>0</v>
      </c>
      <c r="R131" s="411">
        <f>IF($C$131=0,0,Rainwater!N38)</f>
        <v>0</v>
      </c>
    </row>
    <row r="132" spans="2:18" s="258" customFormat="1" ht="30.75" thickBot="1" x14ac:dyDescent="0.3">
      <c r="B132" s="588" t="s">
        <v>681</v>
      </c>
      <c r="C132" s="564" t="s">
        <v>587</v>
      </c>
      <c r="D132" s="1639">
        <f>IF(C132="Manual Entry",SUM(Rainwater!C45:N45),0)</f>
        <v>0</v>
      </c>
      <c r="E132" s="589">
        <f>F132/365</f>
        <v>0</v>
      </c>
      <c r="F132" s="638">
        <f>IF(C132="Manual Entry",D132,0)</f>
        <v>0</v>
      </c>
      <c r="G132" s="589">
        <f>IF($C$132="Manual Entry",Rainwater!C45,0)</f>
        <v>0</v>
      </c>
      <c r="H132" s="592">
        <f>IF($C$132="Manual Entry",Rainwater!D45,0)</f>
        <v>0</v>
      </c>
      <c r="I132" s="592">
        <f>IF($C$132="Manual Entry",Rainwater!E45,0)</f>
        <v>0</v>
      </c>
      <c r="J132" s="592">
        <f>IF($C$132="Manual Entry",Rainwater!#REF!,0)</f>
        <v>0</v>
      </c>
      <c r="K132" s="592">
        <f>IF($C$132="Manual Entry",Rainwater!G45,0)</f>
        <v>0</v>
      </c>
      <c r="L132" s="592">
        <f>IF($C$132="Manual Entry",Rainwater!H45,0)</f>
        <v>0</v>
      </c>
      <c r="M132" s="592">
        <f>IF($C$132="Manual Entry",Rainwater!I45,0)</f>
        <v>0</v>
      </c>
      <c r="N132" s="592">
        <f>IF($C$132="Manual Entry",Rainwater!J45,0)</f>
        <v>0</v>
      </c>
      <c r="O132" s="592">
        <f>IF($C$132="Manual Entry",Rainwater!K45,0)</f>
        <v>0</v>
      </c>
      <c r="P132" s="592">
        <f>IF($C$132="Manual Entry",Rainwater!#REF!,0)</f>
        <v>0</v>
      </c>
      <c r="Q132" s="592">
        <f>IF($C$132="Manual Entry",Rainwater!M45,0)</f>
        <v>0</v>
      </c>
      <c r="R132" s="590">
        <f>IF($C$132="Manual Entry",Rainwater!N45,0)</f>
        <v>0</v>
      </c>
    </row>
    <row r="133" spans="2:18" s="258" customFormat="1" ht="16.5" thickTop="1" thickBot="1" x14ac:dyDescent="0.3">
      <c r="B133" s="1133" t="s">
        <v>798</v>
      </c>
      <c r="C133" s="1134"/>
      <c r="D133" s="1135">
        <f>IF(C132="Manual Entry",D132,C131)</f>
        <v>0</v>
      </c>
      <c r="E133" s="1136">
        <f>F133/365</f>
        <v>0</v>
      </c>
      <c r="F133" s="1209">
        <f>SUM(D133)</f>
        <v>0</v>
      </c>
      <c r="G133" s="1142">
        <f t="shared" ref="G133:R133" si="78">SUM(G132:G132)</f>
        <v>0</v>
      </c>
      <c r="H133" s="1144">
        <f t="shared" si="78"/>
        <v>0</v>
      </c>
      <c r="I133" s="1144">
        <f t="shared" si="78"/>
        <v>0</v>
      </c>
      <c r="J133" s="1144">
        <f t="shared" si="78"/>
        <v>0</v>
      </c>
      <c r="K133" s="1144">
        <f t="shared" si="78"/>
        <v>0</v>
      </c>
      <c r="L133" s="1144">
        <f t="shared" si="78"/>
        <v>0</v>
      </c>
      <c r="M133" s="1144">
        <f t="shared" si="78"/>
        <v>0</v>
      </c>
      <c r="N133" s="1144">
        <f t="shared" si="78"/>
        <v>0</v>
      </c>
      <c r="O133" s="1144">
        <f t="shared" si="78"/>
        <v>0</v>
      </c>
      <c r="P133" s="1144">
        <f t="shared" si="78"/>
        <v>0</v>
      </c>
      <c r="Q133" s="1144">
        <f t="shared" si="78"/>
        <v>0</v>
      </c>
      <c r="R133" s="1141">
        <f t="shared" si="78"/>
        <v>0</v>
      </c>
    </row>
    <row r="134" spans="2:18" s="258" customFormat="1" ht="7.5" customHeight="1" thickBot="1" x14ac:dyDescent="0.3">
      <c r="B134" s="1210"/>
      <c r="C134" s="1211"/>
      <c r="D134" s="1211"/>
      <c r="E134" s="1211"/>
      <c r="F134" s="1211"/>
      <c r="G134" s="1210"/>
      <c r="H134" s="1211"/>
      <c r="I134" s="1211"/>
      <c r="J134" s="1211"/>
      <c r="K134" s="1211"/>
      <c r="L134" s="1211"/>
      <c r="M134" s="1211"/>
      <c r="N134" s="1211"/>
      <c r="O134" s="1211"/>
      <c r="P134" s="1211"/>
      <c r="Q134" s="1211"/>
      <c r="R134" s="1212"/>
    </row>
    <row r="135" spans="2:18" s="258" customFormat="1" ht="15.75" thickBot="1" x14ac:dyDescent="0.3">
      <c r="B135" s="1139" t="s">
        <v>614</v>
      </c>
      <c r="C135" s="1140"/>
      <c r="D135" s="1141">
        <f>SUM(D122,D133)</f>
        <v>0</v>
      </c>
      <c r="E135" s="1142" t="s">
        <v>453</v>
      </c>
      <c r="F135" s="1153">
        <f>SUM(F122,F133)</f>
        <v>0</v>
      </c>
      <c r="G135" s="1142">
        <f t="shared" ref="G135:R135" si="79">SUM(G122,G133)</f>
        <v>0</v>
      </c>
      <c r="H135" s="1144">
        <f t="shared" si="79"/>
        <v>0</v>
      </c>
      <c r="I135" s="1144">
        <f t="shared" si="79"/>
        <v>0</v>
      </c>
      <c r="J135" s="1144">
        <f t="shared" si="79"/>
        <v>0</v>
      </c>
      <c r="K135" s="1144">
        <f t="shared" si="79"/>
        <v>0</v>
      </c>
      <c r="L135" s="1144">
        <f t="shared" si="79"/>
        <v>0</v>
      </c>
      <c r="M135" s="1144">
        <f t="shared" si="79"/>
        <v>0</v>
      </c>
      <c r="N135" s="1144">
        <f t="shared" si="79"/>
        <v>0</v>
      </c>
      <c r="O135" s="1144">
        <f t="shared" si="79"/>
        <v>0</v>
      </c>
      <c r="P135" s="1144">
        <f t="shared" si="79"/>
        <v>0</v>
      </c>
      <c r="Q135" s="1144">
        <f t="shared" si="79"/>
        <v>0</v>
      </c>
      <c r="R135" s="1141">
        <f t="shared" si="79"/>
        <v>0</v>
      </c>
    </row>
    <row r="136" spans="2:18" x14ac:dyDescent="0.2">
      <c r="E136" s="479"/>
    </row>
    <row r="137" spans="2:18" s="1032" customFormat="1" ht="15.75" x14ac:dyDescent="0.25">
      <c r="B137" s="1033" t="s">
        <v>594</v>
      </c>
      <c r="C137" s="914"/>
      <c r="D137" s="915"/>
      <c r="E137" s="915"/>
      <c r="F137" s="915"/>
      <c r="G137" s="915"/>
      <c r="H137" s="915"/>
      <c r="I137" s="915"/>
      <c r="J137" s="915"/>
      <c r="K137" s="915"/>
      <c r="L137" s="915"/>
      <c r="M137" s="915"/>
      <c r="N137" s="915"/>
      <c r="O137" s="915"/>
      <c r="Q137" s="1035"/>
    </row>
    <row r="138" spans="2:18" ht="13.5" thickBot="1" x14ac:dyDescent="0.25">
      <c r="E138" s="479"/>
    </row>
    <row r="139" spans="2:18" ht="30" x14ac:dyDescent="0.25">
      <c r="B139" s="1213" t="s">
        <v>591</v>
      </c>
      <c r="C139" s="1214"/>
      <c r="D139" s="1214"/>
      <c r="E139" s="1215" t="s">
        <v>595</v>
      </c>
      <c r="F139" s="1106" t="s">
        <v>593</v>
      </c>
      <c r="G139" s="1216" t="s">
        <v>224</v>
      </c>
      <c r="H139" s="1203"/>
      <c r="I139" s="1203"/>
      <c r="J139" s="1203"/>
      <c r="K139" s="1203"/>
      <c r="L139" s="1203"/>
      <c r="M139" s="1203"/>
      <c r="N139" s="1203"/>
      <c r="O139" s="1203"/>
      <c r="P139" s="1203"/>
      <c r="Q139" s="1203"/>
      <c r="R139" s="1204"/>
    </row>
    <row r="140" spans="2:18" ht="15" x14ac:dyDescent="0.25">
      <c r="B140" s="1217" t="s">
        <v>219</v>
      </c>
      <c r="C140" s="1218"/>
      <c r="D140" s="1218"/>
      <c r="E140" s="1219" t="s">
        <v>739</v>
      </c>
      <c r="F140" s="1220" t="s">
        <v>592</v>
      </c>
      <c r="G140" s="1221" t="s">
        <v>28</v>
      </c>
      <c r="H140" s="1222" t="s">
        <v>29</v>
      </c>
      <c r="I140" s="1222" t="s">
        <v>30</v>
      </c>
      <c r="J140" s="1222" t="s">
        <v>31</v>
      </c>
      <c r="K140" s="1222" t="s">
        <v>32</v>
      </c>
      <c r="L140" s="1222" t="s">
        <v>33</v>
      </c>
      <c r="M140" s="1222" t="s">
        <v>8</v>
      </c>
      <c r="N140" s="1222" t="s">
        <v>9</v>
      </c>
      <c r="O140" s="1222" t="s">
        <v>0</v>
      </c>
      <c r="P140" s="1222" t="s">
        <v>2</v>
      </c>
      <c r="Q140" s="1222" t="s">
        <v>3</v>
      </c>
      <c r="R140" s="1223" t="s">
        <v>4</v>
      </c>
    </row>
    <row r="141" spans="2:18" ht="15.75" thickBot="1" x14ac:dyDescent="0.3">
      <c r="B141" s="1224">
        <f>F141</f>
        <v>0</v>
      </c>
      <c r="C141" s="1225"/>
      <c r="D141" s="1225"/>
      <c r="E141" s="1226">
        <f>F141/365</f>
        <v>0</v>
      </c>
      <c r="F141" s="963">
        <f>SUM(G141:R141)</f>
        <v>0</v>
      </c>
      <c r="G141" s="1227">
        <f>G169</f>
        <v>0</v>
      </c>
      <c r="H141" s="962">
        <f t="shared" ref="H141:R141" si="80">H169</f>
        <v>0</v>
      </c>
      <c r="I141" s="962">
        <f t="shared" si="80"/>
        <v>0</v>
      </c>
      <c r="J141" s="962">
        <f t="shared" si="80"/>
        <v>0</v>
      </c>
      <c r="K141" s="962">
        <f t="shared" si="80"/>
        <v>0</v>
      </c>
      <c r="L141" s="962">
        <f t="shared" si="80"/>
        <v>0</v>
      </c>
      <c r="M141" s="962">
        <f t="shared" si="80"/>
        <v>0</v>
      </c>
      <c r="N141" s="962">
        <f t="shared" si="80"/>
        <v>0</v>
      </c>
      <c r="O141" s="962">
        <f t="shared" si="80"/>
        <v>0</v>
      </c>
      <c r="P141" s="962">
        <f t="shared" si="80"/>
        <v>0</v>
      </c>
      <c r="Q141" s="962">
        <f t="shared" si="80"/>
        <v>0</v>
      </c>
      <c r="R141" s="963">
        <f t="shared" si="80"/>
        <v>0</v>
      </c>
    </row>
    <row r="142" spans="2:18" x14ac:dyDescent="0.2">
      <c r="E142" s="479"/>
    </row>
    <row r="143" spans="2:18" s="1032" customFormat="1" ht="15.75" x14ac:dyDescent="0.25">
      <c r="B143" s="1033" t="s">
        <v>260</v>
      </c>
      <c r="C143" s="914"/>
      <c r="D143" s="915"/>
      <c r="E143" s="915"/>
      <c r="F143" s="915"/>
      <c r="G143" s="915"/>
      <c r="H143" s="915"/>
      <c r="I143" s="915"/>
      <c r="J143" s="915"/>
      <c r="K143" s="915"/>
      <c r="L143" s="915"/>
      <c r="M143" s="915"/>
      <c r="N143" s="915"/>
      <c r="O143" s="915"/>
      <c r="Q143" s="1035"/>
    </row>
    <row r="144" spans="2:18" s="258" customFormat="1" ht="15" x14ac:dyDescent="0.25">
      <c r="B144" s="639"/>
      <c r="C144" s="403"/>
      <c r="D144" s="259"/>
      <c r="E144" s="259"/>
      <c r="F144" s="259"/>
      <c r="G144" s="259"/>
      <c r="H144" s="259"/>
      <c r="I144" s="259"/>
      <c r="J144" s="259"/>
      <c r="K144" s="259"/>
      <c r="L144" s="259"/>
      <c r="M144" s="259"/>
      <c r="N144" s="259"/>
      <c r="O144" s="259"/>
      <c r="Q144" s="247"/>
    </row>
    <row r="145" spans="2:21" s="258" customFormat="1" ht="15" customHeight="1" x14ac:dyDescent="0.25">
      <c r="B145" s="639"/>
      <c r="C145" s="403"/>
      <c r="D145" s="640"/>
      <c r="F145" s="259"/>
      <c r="G145" s="259"/>
      <c r="H145" s="259"/>
      <c r="I145" s="259"/>
      <c r="J145" s="259"/>
      <c r="K145" s="259"/>
      <c r="L145" s="259"/>
      <c r="M145" s="259"/>
      <c r="N145" s="259"/>
      <c r="O145" s="259"/>
      <c r="Q145" s="247"/>
      <c r="U145" s="640"/>
    </row>
    <row r="146" spans="2:21" s="258" customFormat="1" ht="15" x14ac:dyDescent="0.25">
      <c r="B146" s="641" t="s">
        <v>356</v>
      </c>
      <c r="C146" s="239">
        <f>IF(SUM(F122,F133)&gt;F56,F56,SUM(F122,F133))</f>
        <v>0</v>
      </c>
      <c r="D146" s="642" t="s">
        <v>616</v>
      </c>
      <c r="F146" s="259"/>
      <c r="G146" s="259"/>
      <c r="H146" s="259"/>
      <c r="I146" s="259"/>
      <c r="J146" s="259"/>
      <c r="K146" s="259"/>
      <c r="L146" s="259"/>
      <c r="M146" s="259"/>
      <c r="N146" s="259"/>
      <c r="O146" s="259"/>
      <c r="Q146" s="247"/>
      <c r="U146" s="643"/>
    </row>
    <row r="147" spans="2:21" s="647" customFormat="1" ht="30" hidden="1" x14ac:dyDescent="0.25">
      <c r="B147" s="644" t="s">
        <v>524</v>
      </c>
      <c r="C147" s="645">
        <f>F171</f>
        <v>0</v>
      </c>
      <c r="D147" s="646"/>
      <c r="F147" s="648"/>
      <c r="G147" s="648"/>
      <c r="H147" s="648"/>
      <c r="I147" s="648"/>
      <c r="J147" s="648"/>
      <c r="K147" s="648"/>
      <c r="L147" s="648"/>
      <c r="M147" s="648"/>
      <c r="N147" s="648"/>
      <c r="O147" s="648"/>
      <c r="Q147" s="649"/>
      <c r="U147" s="650"/>
    </row>
    <row r="148" spans="2:21" s="258" customFormat="1" ht="30" x14ac:dyDescent="0.25">
      <c r="B148" s="641" t="s">
        <v>381</v>
      </c>
      <c r="C148" s="651">
        <f>IF('6. Building Potential Summary'!C48=0,0,C146/'6. Building Potential Summary'!$C$48)</f>
        <v>0</v>
      </c>
      <c r="D148" s="652" t="s">
        <v>716</v>
      </c>
      <c r="F148" s="259"/>
      <c r="G148" s="259"/>
      <c r="H148" s="259"/>
      <c r="I148" s="259"/>
      <c r="J148" s="259"/>
      <c r="K148" s="259"/>
      <c r="L148" s="259"/>
      <c r="M148" s="259"/>
      <c r="N148" s="259"/>
      <c r="O148" s="259"/>
      <c r="Q148" s="247"/>
      <c r="U148" s="643"/>
    </row>
    <row r="149" spans="2:21" s="258" customFormat="1" ht="15" x14ac:dyDescent="0.25">
      <c r="B149" s="653" t="s">
        <v>353</v>
      </c>
      <c r="C149" s="239">
        <f>SUM(G169:R169)</f>
        <v>0</v>
      </c>
      <c r="D149" s="642" t="s">
        <v>743</v>
      </c>
      <c r="E149" s="259"/>
      <c r="F149" s="259"/>
      <c r="G149" s="259"/>
      <c r="H149" s="259"/>
      <c r="I149" s="259"/>
      <c r="J149" s="259"/>
      <c r="K149" s="259"/>
      <c r="L149" s="259"/>
      <c r="M149" s="259"/>
      <c r="N149" s="259"/>
      <c r="O149" s="259"/>
      <c r="Q149" s="247"/>
    </row>
    <row r="150" spans="2:21" s="258" customFormat="1" ht="15" x14ac:dyDescent="0.25">
      <c r="B150" s="639"/>
      <c r="C150" s="403"/>
      <c r="D150" s="642" t="s">
        <v>744</v>
      </c>
      <c r="E150" s="259"/>
      <c r="F150" s="259"/>
      <c r="G150" s="259"/>
      <c r="H150" s="259"/>
      <c r="I150" s="259"/>
      <c r="J150" s="259"/>
      <c r="K150" s="259"/>
      <c r="L150" s="259"/>
      <c r="M150" s="259"/>
      <c r="N150" s="259"/>
      <c r="O150" s="259"/>
      <c r="Q150" s="247"/>
    </row>
    <row r="151" spans="2:21" s="258" customFormat="1" ht="15" x14ac:dyDescent="0.25">
      <c r="B151" s="639"/>
      <c r="C151" s="403"/>
      <c r="D151" s="642"/>
      <c r="E151" s="259"/>
      <c r="F151" s="259"/>
      <c r="G151" s="259"/>
      <c r="H151" s="259"/>
      <c r="I151" s="259"/>
      <c r="J151" s="259"/>
      <c r="K151" s="259"/>
      <c r="L151" s="259"/>
      <c r="M151" s="259"/>
      <c r="N151" s="259"/>
      <c r="O151" s="259"/>
      <c r="Q151" s="247"/>
    </row>
    <row r="152" spans="2:21" x14ac:dyDescent="0.2">
      <c r="C152" s="479"/>
      <c r="D152" s="479"/>
    </row>
    <row r="153" spans="2:21" s="258" customFormat="1" ht="15" x14ac:dyDescent="0.25">
      <c r="B153" s="654" t="s">
        <v>261</v>
      </c>
      <c r="C153" s="654" t="s">
        <v>262</v>
      </c>
      <c r="D153" s="654" t="s">
        <v>263</v>
      </c>
      <c r="F153" s="502" t="s">
        <v>20</v>
      </c>
      <c r="G153" s="654" t="s">
        <v>28</v>
      </c>
      <c r="H153" s="654" t="s">
        <v>29</v>
      </c>
      <c r="I153" s="654" t="s">
        <v>30</v>
      </c>
      <c r="J153" s="654" t="s">
        <v>31</v>
      </c>
      <c r="K153" s="654" t="s">
        <v>32</v>
      </c>
      <c r="L153" s="654" t="s">
        <v>33</v>
      </c>
      <c r="M153" s="654" t="s">
        <v>8</v>
      </c>
      <c r="N153" s="654" t="s">
        <v>9</v>
      </c>
      <c r="O153" s="654" t="s">
        <v>0</v>
      </c>
      <c r="P153" s="654" t="s">
        <v>2</v>
      </c>
      <c r="Q153" s="654" t="s">
        <v>3</v>
      </c>
      <c r="R153" s="654" t="s">
        <v>4</v>
      </c>
    </row>
    <row r="154" spans="2:21" s="258" customFormat="1" ht="15" x14ac:dyDescent="0.25">
      <c r="B154" s="655" t="s">
        <v>102</v>
      </c>
      <c r="C154" s="656">
        <f>F118</f>
        <v>0</v>
      </c>
      <c r="D154" s="655"/>
      <c r="E154" s="657"/>
      <c r="F154" s="658">
        <f t="shared" ref="F154:F161" si="81">SUM(G154:R154)</f>
        <v>0</v>
      </c>
      <c r="G154" s="656">
        <f t="shared" ref="G154:R154" si="82">G118</f>
        <v>0</v>
      </c>
      <c r="H154" s="656">
        <f t="shared" si="82"/>
        <v>0</v>
      </c>
      <c r="I154" s="656">
        <f t="shared" si="82"/>
        <v>0</v>
      </c>
      <c r="J154" s="656">
        <f t="shared" si="82"/>
        <v>0</v>
      </c>
      <c r="K154" s="656">
        <f t="shared" si="82"/>
        <v>0</v>
      </c>
      <c r="L154" s="656">
        <f t="shared" si="82"/>
        <v>0</v>
      </c>
      <c r="M154" s="656">
        <f t="shared" si="82"/>
        <v>0</v>
      </c>
      <c r="N154" s="656">
        <f t="shared" si="82"/>
        <v>0</v>
      </c>
      <c r="O154" s="656">
        <f t="shared" si="82"/>
        <v>0</v>
      </c>
      <c r="P154" s="656">
        <f t="shared" si="82"/>
        <v>0</v>
      </c>
      <c r="Q154" s="656">
        <f t="shared" si="82"/>
        <v>0</v>
      </c>
      <c r="R154" s="656">
        <f t="shared" si="82"/>
        <v>0</v>
      </c>
    </row>
    <row r="155" spans="2:21" s="258" customFormat="1" ht="15" x14ac:dyDescent="0.25">
      <c r="B155" s="655" t="s">
        <v>177</v>
      </c>
      <c r="C155" s="656">
        <f>F133</f>
        <v>0</v>
      </c>
      <c r="D155" s="655"/>
      <c r="E155" s="657"/>
      <c r="F155" s="658">
        <f>SUM(G155:R155)</f>
        <v>0</v>
      </c>
      <c r="G155" s="656">
        <f>G133</f>
        <v>0</v>
      </c>
      <c r="H155" s="656">
        <f t="shared" ref="H155:R155" si="83">H133</f>
        <v>0</v>
      </c>
      <c r="I155" s="656">
        <f t="shared" si="83"/>
        <v>0</v>
      </c>
      <c r="J155" s="656">
        <f t="shared" si="83"/>
        <v>0</v>
      </c>
      <c r="K155" s="656">
        <f t="shared" si="83"/>
        <v>0</v>
      </c>
      <c r="L155" s="656">
        <f t="shared" si="83"/>
        <v>0</v>
      </c>
      <c r="M155" s="656">
        <f t="shared" si="83"/>
        <v>0</v>
      </c>
      <c r="N155" s="656">
        <f t="shared" si="83"/>
        <v>0</v>
      </c>
      <c r="O155" s="656">
        <f t="shared" si="83"/>
        <v>0</v>
      </c>
      <c r="P155" s="656">
        <f t="shared" si="83"/>
        <v>0</v>
      </c>
      <c r="Q155" s="656">
        <f t="shared" si="83"/>
        <v>0</v>
      </c>
      <c r="R155" s="656">
        <f t="shared" si="83"/>
        <v>0</v>
      </c>
    </row>
    <row r="156" spans="2:21" s="258" customFormat="1" ht="15" x14ac:dyDescent="0.25">
      <c r="B156" s="655" t="s">
        <v>127</v>
      </c>
      <c r="C156" s="656">
        <f>F119</f>
        <v>0</v>
      </c>
      <c r="D156" s="655"/>
      <c r="E156" s="657"/>
      <c r="F156" s="658">
        <f t="shared" si="81"/>
        <v>0</v>
      </c>
      <c r="G156" s="656">
        <f t="shared" ref="G156:R156" si="84">G119</f>
        <v>0</v>
      </c>
      <c r="H156" s="656">
        <f t="shared" si="84"/>
        <v>0</v>
      </c>
      <c r="I156" s="656">
        <f t="shared" si="84"/>
        <v>0</v>
      </c>
      <c r="J156" s="656">
        <f t="shared" si="84"/>
        <v>0</v>
      </c>
      <c r="K156" s="656">
        <f t="shared" si="84"/>
        <v>0</v>
      </c>
      <c r="L156" s="656">
        <f t="shared" si="84"/>
        <v>0</v>
      </c>
      <c r="M156" s="656">
        <f t="shared" si="84"/>
        <v>0</v>
      </c>
      <c r="N156" s="656">
        <f t="shared" si="84"/>
        <v>0</v>
      </c>
      <c r="O156" s="656">
        <f t="shared" si="84"/>
        <v>0</v>
      </c>
      <c r="P156" s="656">
        <f t="shared" si="84"/>
        <v>0</v>
      </c>
      <c r="Q156" s="656">
        <f t="shared" si="84"/>
        <v>0</v>
      </c>
      <c r="R156" s="656">
        <f t="shared" si="84"/>
        <v>0</v>
      </c>
    </row>
    <row r="157" spans="2:21" s="258" customFormat="1" ht="15.75" thickBot="1" x14ac:dyDescent="0.3">
      <c r="B157" s="659" t="s">
        <v>542</v>
      </c>
      <c r="C157" s="660">
        <f>F121</f>
        <v>0</v>
      </c>
      <c r="D157" s="659"/>
      <c r="E157" s="657"/>
      <c r="F157" s="661">
        <f t="shared" si="81"/>
        <v>0</v>
      </c>
      <c r="G157" s="660">
        <f t="shared" ref="G157:R157" si="85">G121</f>
        <v>0</v>
      </c>
      <c r="H157" s="660">
        <f t="shared" si="85"/>
        <v>0</v>
      </c>
      <c r="I157" s="660">
        <f t="shared" si="85"/>
        <v>0</v>
      </c>
      <c r="J157" s="660">
        <f t="shared" si="85"/>
        <v>0</v>
      </c>
      <c r="K157" s="660">
        <f t="shared" si="85"/>
        <v>0</v>
      </c>
      <c r="L157" s="660">
        <f t="shared" si="85"/>
        <v>0</v>
      </c>
      <c r="M157" s="660">
        <f t="shared" si="85"/>
        <v>0</v>
      </c>
      <c r="N157" s="660">
        <f t="shared" si="85"/>
        <v>0</v>
      </c>
      <c r="O157" s="660">
        <f t="shared" si="85"/>
        <v>0</v>
      </c>
      <c r="P157" s="660">
        <f t="shared" si="85"/>
        <v>0</v>
      </c>
      <c r="Q157" s="660">
        <f t="shared" si="85"/>
        <v>0</v>
      </c>
      <c r="R157" s="660">
        <f t="shared" si="85"/>
        <v>0</v>
      </c>
    </row>
    <row r="158" spans="2:21" s="258" customFormat="1" ht="15" x14ac:dyDescent="0.25">
      <c r="B158" s="662" t="s">
        <v>264</v>
      </c>
      <c r="C158" s="662"/>
      <c r="D158" s="663">
        <f>SUM(F28,F32)</f>
        <v>0</v>
      </c>
      <c r="E158" s="657"/>
      <c r="F158" s="664">
        <f t="shared" si="81"/>
        <v>0</v>
      </c>
      <c r="G158" s="663">
        <f t="shared" ref="G158:R158" si="86">SUM(G28,G32)</f>
        <v>0</v>
      </c>
      <c r="H158" s="663">
        <f t="shared" si="86"/>
        <v>0</v>
      </c>
      <c r="I158" s="663">
        <f t="shared" si="86"/>
        <v>0</v>
      </c>
      <c r="J158" s="663">
        <f t="shared" si="86"/>
        <v>0</v>
      </c>
      <c r="K158" s="663">
        <f t="shared" si="86"/>
        <v>0</v>
      </c>
      <c r="L158" s="663">
        <f t="shared" si="86"/>
        <v>0</v>
      </c>
      <c r="M158" s="663">
        <f t="shared" si="86"/>
        <v>0</v>
      </c>
      <c r="N158" s="663">
        <f t="shared" si="86"/>
        <v>0</v>
      </c>
      <c r="O158" s="663">
        <f t="shared" si="86"/>
        <v>0</v>
      </c>
      <c r="P158" s="663">
        <f t="shared" si="86"/>
        <v>0</v>
      </c>
      <c r="Q158" s="663">
        <f t="shared" si="86"/>
        <v>0</v>
      </c>
      <c r="R158" s="663">
        <f t="shared" si="86"/>
        <v>0</v>
      </c>
    </row>
    <row r="159" spans="2:21" s="258" customFormat="1" ht="15" x14ac:dyDescent="0.25">
      <c r="B159" s="665" t="s">
        <v>241</v>
      </c>
      <c r="C159" s="665"/>
      <c r="D159" s="666">
        <f>F48</f>
        <v>0</v>
      </c>
      <c r="E159" s="657"/>
      <c r="F159" s="667">
        <f t="shared" si="81"/>
        <v>0</v>
      </c>
      <c r="G159" s="666">
        <f t="shared" ref="G159:R159" si="87">G48</f>
        <v>0</v>
      </c>
      <c r="H159" s="666">
        <f t="shared" si="87"/>
        <v>0</v>
      </c>
      <c r="I159" s="666">
        <f t="shared" si="87"/>
        <v>0</v>
      </c>
      <c r="J159" s="666">
        <f t="shared" si="87"/>
        <v>0</v>
      </c>
      <c r="K159" s="666">
        <f t="shared" si="87"/>
        <v>0</v>
      </c>
      <c r="L159" s="666">
        <f t="shared" si="87"/>
        <v>0</v>
      </c>
      <c r="M159" s="666">
        <f t="shared" si="87"/>
        <v>0</v>
      </c>
      <c r="N159" s="666">
        <f t="shared" si="87"/>
        <v>0</v>
      </c>
      <c r="O159" s="666">
        <f t="shared" si="87"/>
        <v>0</v>
      </c>
      <c r="P159" s="666">
        <f t="shared" si="87"/>
        <v>0</v>
      </c>
      <c r="Q159" s="666">
        <f t="shared" si="87"/>
        <v>0</v>
      </c>
      <c r="R159" s="666">
        <f t="shared" si="87"/>
        <v>0</v>
      </c>
    </row>
    <row r="160" spans="2:21" s="258" customFormat="1" ht="15" x14ac:dyDescent="0.25">
      <c r="B160" s="665" t="s">
        <v>132</v>
      </c>
      <c r="C160" s="665"/>
      <c r="D160" s="666">
        <f>F35</f>
        <v>0</v>
      </c>
      <c r="E160" s="657"/>
      <c r="F160" s="667">
        <f t="shared" si="81"/>
        <v>0</v>
      </c>
      <c r="G160" s="666">
        <f t="shared" ref="G160:R160" si="88">G35</f>
        <v>0</v>
      </c>
      <c r="H160" s="666">
        <f t="shared" si="88"/>
        <v>0</v>
      </c>
      <c r="I160" s="666">
        <f t="shared" si="88"/>
        <v>0</v>
      </c>
      <c r="J160" s="666">
        <f t="shared" si="88"/>
        <v>0</v>
      </c>
      <c r="K160" s="666">
        <f t="shared" si="88"/>
        <v>0</v>
      </c>
      <c r="L160" s="666">
        <f t="shared" si="88"/>
        <v>0</v>
      </c>
      <c r="M160" s="666">
        <f t="shared" si="88"/>
        <v>0</v>
      </c>
      <c r="N160" s="666">
        <f t="shared" si="88"/>
        <v>0</v>
      </c>
      <c r="O160" s="666">
        <f t="shared" si="88"/>
        <v>0</v>
      </c>
      <c r="P160" s="666">
        <f t="shared" si="88"/>
        <v>0</v>
      </c>
      <c r="Q160" s="666">
        <f t="shared" si="88"/>
        <v>0</v>
      </c>
      <c r="R160" s="666">
        <f t="shared" si="88"/>
        <v>0</v>
      </c>
    </row>
    <row r="161" spans="2:19" s="258" customFormat="1" ht="15" x14ac:dyDescent="0.25">
      <c r="B161" s="665" t="s">
        <v>613</v>
      </c>
      <c r="C161" s="665"/>
      <c r="D161" s="666">
        <f>SUM(F41,F53)</f>
        <v>0</v>
      </c>
      <c r="E161" s="657"/>
      <c r="F161" s="667">
        <f t="shared" si="81"/>
        <v>0</v>
      </c>
      <c r="G161" s="666">
        <f t="shared" ref="G161:R161" si="89">SUM(G41,G53)</f>
        <v>0</v>
      </c>
      <c r="H161" s="666">
        <f t="shared" si="89"/>
        <v>0</v>
      </c>
      <c r="I161" s="666">
        <f t="shared" si="89"/>
        <v>0</v>
      </c>
      <c r="J161" s="666">
        <f t="shared" si="89"/>
        <v>0</v>
      </c>
      <c r="K161" s="666">
        <f t="shared" si="89"/>
        <v>0</v>
      </c>
      <c r="L161" s="666">
        <f t="shared" si="89"/>
        <v>0</v>
      </c>
      <c r="M161" s="666">
        <f t="shared" si="89"/>
        <v>0</v>
      </c>
      <c r="N161" s="666">
        <f t="shared" si="89"/>
        <v>0</v>
      </c>
      <c r="O161" s="666">
        <f t="shared" si="89"/>
        <v>0</v>
      </c>
      <c r="P161" s="666">
        <f t="shared" si="89"/>
        <v>0</v>
      </c>
      <c r="Q161" s="666">
        <f t="shared" si="89"/>
        <v>0</v>
      </c>
      <c r="R161" s="666">
        <f t="shared" si="89"/>
        <v>0</v>
      </c>
    </row>
    <row r="162" spans="2:19" s="258" customFormat="1" ht="15" x14ac:dyDescent="0.25">
      <c r="B162" s="665"/>
      <c r="C162" s="665"/>
      <c r="D162" s="666"/>
      <c r="E162" s="657"/>
      <c r="F162" s="667"/>
      <c r="G162" s="666"/>
      <c r="H162" s="666"/>
      <c r="I162" s="666"/>
      <c r="J162" s="666"/>
      <c r="K162" s="666"/>
      <c r="L162" s="666"/>
      <c r="M162" s="666"/>
      <c r="N162" s="666"/>
      <c r="O162" s="666"/>
      <c r="P162" s="666"/>
      <c r="Q162" s="666"/>
      <c r="R162" s="666"/>
    </row>
    <row r="163" spans="2:19" s="258" customFormat="1" ht="15" x14ac:dyDescent="0.25">
      <c r="B163" s="665"/>
      <c r="C163" s="665"/>
      <c r="D163" s="666"/>
      <c r="E163" s="657"/>
      <c r="F163" s="667"/>
      <c r="G163" s="666"/>
      <c r="H163" s="666"/>
      <c r="I163" s="666"/>
      <c r="J163" s="666"/>
      <c r="K163" s="666"/>
      <c r="L163" s="666"/>
      <c r="M163" s="666"/>
      <c r="N163" s="666"/>
      <c r="O163" s="666"/>
      <c r="P163" s="666"/>
      <c r="Q163" s="666"/>
      <c r="R163" s="666"/>
    </row>
    <row r="164" spans="2:19" s="258" customFormat="1" ht="15" x14ac:dyDescent="0.25">
      <c r="F164" s="668"/>
    </row>
    <row r="165" spans="2:19" s="258" customFormat="1" ht="15" x14ac:dyDescent="0.25">
      <c r="B165" s="654" t="s">
        <v>261</v>
      </c>
      <c r="C165" s="654" t="s">
        <v>262</v>
      </c>
      <c r="D165" s="654" t="s">
        <v>263</v>
      </c>
      <c r="F165" s="502" t="s">
        <v>20</v>
      </c>
      <c r="G165" s="654" t="s">
        <v>28</v>
      </c>
      <c r="H165" s="654" t="s">
        <v>29</v>
      </c>
      <c r="I165" s="654" t="s">
        <v>30</v>
      </c>
      <c r="J165" s="654" t="s">
        <v>31</v>
      </c>
      <c r="K165" s="654" t="s">
        <v>32</v>
      </c>
      <c r="L165" s="654" t="s">
        <v>33</v>
      </c>
      <c r="M165" s="654" t="s">
        <v>8</v>
      </c>
      <c r="N165" s="654" t="s">
        <v>9</v>
      </c>
      <c r="O165" s="654" t="s">
        <v>0</v>
      </c>
      <c r="P165" s="654" t="s">
        <v>2</v>
      </c>
      <c r="Q165" s="654" t="s">
        <v>3</v>
      </c>
      <c r="R165" s="654" t="s">
        <v>4</v>
      </c>
    </row>
    <row r="166" spans="2:19" s="258" customFormat="1" ht="23.25" x14ac:dyDescent="0.35">
      <c r="B166" s="655" t="s">
        <v>378</v>
      </c>
      <c r="C166" s="656"/>
      <c r="D166" s="655"/>
      <c r="E166" s="669" t="s">
        <v>262</v>
      </c>
      <c r="F166" s="658">
        <f t="shared" ref="F166:F170" si="90">SUM(G166:R166)</f>
        <v>0</v>
      </c>
      <c r="G166" s="656">
        <f t="shared" ref="G166:R166" si="91">SUM(G154:G157)</f>
        <v>0</v>
      </c>
      <c r="H166" s="656">
        <f t="shared" si="91"/>
        <v>0</v>
      </c>
      <c r="I166" s="656">
        <f t="shared" si="91"/>
        <v>0</v>
      </c>
      <c r="J166" s="656">
        <f t="shared" si="91"/>
        <v>0</v>
      </c>
      <c r="K166" s="656">
        <f t="shared" si="91"/>
        <v>0</v>
      </c>
      <c r="L166" s="656">
        <f t="shared" si="91"/>
        <v>0</v>
      </c>
      <c r="M166" s="656">
        <f t="shared" si="91"/>
        <v>0</v>
      </c>
      <c r="N166" s="656">
        <f t="shared" si="91"/>
        <v>0</v>
      </c>
      <c r="O166" s="656">
        <f t="shared" si="91"/>
        <v>0</v>
      </c>
      <c r="P166" s="656">
        <f t="shared" si="91"/>
        <v>0</v>
      </c>
      <c r="Q166" s="656">
        <f t="shared" si="91"/>
        <v>0</v>
      </c>
      <c r="R166" s="656">
        <f t="shared" si="91"/>
        <v>0</v>
      </c>
      <c r="S166" s="670"/>
    </row>
    <row r="167" spans="2:19" s="258" customFormat="1" ht="15" x14ac:dyDescent="0.25">
      <c r="B167" s="665" t="s">
        <v>379</v>
      </c>
      <c r="C167" s="665"/>
      <c r="D167" s="666"/>
      <c r="E167" s="669" t="s">
        <v>525</v>
      </c>
      <c r="F167" s="667">
        <f t="shared" si="90"/>
        <v>0</v>
      </c>
      <c r="G167" s="666">
        <f>SUM(G158:G163)</f>
        <v>0</v>
      </c>
      <c r="H167" s="666">
        <f t="shared" ref="H167:R167" si="92">SUM(H158:H163)</f>
        <v>0</v>
      </c>
      <c r="I167" s="666">
        <f t="shared" si="92"/>
        <v>0</v>
      </c>
      <c r="J167" s="666">
        <f t="shared" si="92"/>
        <v>0</v>
      </c>
      <c r="K167" s="666">
        <f t="shared" si="92"/>
        <v>0</v>
      </c>
      <c r="L167" s="666">
        <f t="shared" si="92"/>
        <v>0</v>
      </c>
      <c r="M167" s="666">
        <f t="shared" si="92"/>
        <v>0</v>
      </c>
      <c r="N167" s="666">
        <f t="shared" si="92"/>
        <v>0</v>
      </c>
      <c r="O167" s="666">
        <f t="shared" si="92"/>
        <v>0</v>
      </c>
      <c r="P167" s="666">
        <f t="shared" si="92"/>
        <v>0</v>
      </c>
      <c r="Q167" s="666">
        <f t="shared" si="92"/>
        <v>0</v>
      </c>
      <c r="R167" s="666">
        <f t="shared" si="92"/>
        <v>0</v>
      </c>
    </row>
    <row r="168" spans="2:19" s="258" customFormat="1" ht="15" x14ac:dyDescent="0.25">
      <c r="B168" s="665" t="s">
        <v>380</v>
      </c>
      <c r="C168" s="665"/>
      <c r="D168" s="666"/>
      <c r="E168" s="669" t="s">
        <v>717</v>
      </c>
      <c r="F168" s="667">
        <f t="shared" si="90"/>
        <v>0</v>
      </c>
      <c r="G168" s="666">
        <f>(('6. Building Potential Summary'!$G$22+'6. Building Potential Summary'!$G$31)/12)+'6. Building Potential Summary'!H34+'6. Building Potential Summary'!H39+'6. Building Potential Summary'!H44</f>
        <v>0</v>
      </c>
      <c r="H168" s="666">
        <f>(('6. Building Potential Summary'!$G$22+'6. Building Potential Summary'!$G$31)/12)+'6. Building Potential Summary'!I34+'6. Building Potential Summary'!I39+'6. Building Potential Summary'!I44</f>
        <v>0</v>
      </c>
      <c r="I168" s="666">
        <f>(('6. Building Potential Summary'!$G$22+'6. Building Potential Summary'!$G$31)/12)+'6. Building Potential Summary'!J34+'6. Building Potential Summary'!J39+'6. Building Potential Summary'!J44</f>
        <v>0</v>
      </c>
      <c r="J168" s="666">
        <f>(('6. Building Potential Summary'!$G$22+'6. Building Potential Summary'!$G$31)/12)+'6. Building Potential Summary'!K34+'6. Building Potential Summary'!K39+'6. Building Potential Summary'!K44</f>
        <v>0</v>
      </c>
      <c r="K168" s="666">
        <f>(('6. Building Potential Summary'!$G$22+'6. Building Potential Summary'!$G$31)/12)+'6. Building Potential Summary'!L34+'6. Building Potential Summary'!L39+'6. Building Potential Summary'!L44</f>
        <v>0</v>
      </c>
      <c r="L168" s="666">
        <f>(('6. Building Potential Summary'!$G$22+'6. Building Potential Summary'!$G$31)/12)+'6. Building Potential Summary'!M34+'6. Building Potential Summary'!M39+'6. Building Potential Summary'!M44</f>
        <v>0</v>
      </c>
      <c r="M168" s="666">
        <f>(('6. Building Potential Summary'!$G$22+'6. Building Potential Summary'!$G$31)/12)+'6. Building Potential Summary'!N34+'6. Building Potential Summary'!N39+'6. Building Potential Summary'!N44</f>
        <v>0</v>
      </c>
      <c r="N168" s="666">
        <f>(('6. Building Potential Summary'!$G$22+'6. Building Potential Summary'!$G$31)/12)+'6. Building Potential Summary'!O34+'6. Building Potential Summary'!O39+'6. Building Potential Summary'!O44</f>
        <v>0</v>
      </c>
      <c r="O168" s="666">
        <f>(('6. Building Potential Summary'!$G$22+'6. Building Potential Summary'!$G$31)/12)+'6. Building Potential Summary'!P34+'6. Building Potential Summary'!P39+'6. Building Potential Summary'!P44</f>
        <v>0</v>
      </c>
      <c r="P168" s="666">
        <f>(('6. Building Potential Summary'!$G$22+'6. Building Potential Summary'!$G$31)/12)+'6. Building Potential Summary'!Q34+'6. Building Potential Summary'!Q39+'6. Building Potential Summary'!Q44</f>
        <v>0</v>
      </c>
      <c r="Q168" s="666">
        <f>(('6. Building Potential Summary'!$G$22+'6. Building Potential Summary'!$G$31)/12)+'6. Building Potential Summary'!R34+'6. Building Potential Summary'!R39+'6. Building Potential Summary'!R44</f>
        <v>0</v>
      </c>
      <c r="R168" s="666">
        <f>(('6. Building Potential Summary'!$G$22+'6. Building Potential Summary'!$G$31)/12)+'6. Building Potential Summary'!S34+'6. Building Potential Summary'!S39+'6. Building Potential Summary'!S44</f>
        <v>0</v>
      </c>
    </row>
    <row r="169" spans="2:19" s="258" customFormat="1" ht="30" x14ac:dyDescent="0.25">
      <c r="B169" s="671" t="s">
        <v>742</v>
      </c>
      <c r="C169" s="654"/>
      <c r="D169" s="654"/>
      <c r="E169" s="672" t="s">
        <v>526</v>
      </c>
      <c r="F169" s="658">
        <f t="shared" si="90"/>
        <v>0</v>
      </c>
      <c r="G169" s="673">
        <f>IF(G167-G166&lt;0,0,G167-G166)</f>
        <v>0</v>
      </c>
      <c r="H169" s="673">
        <f t="shared" ref="H169:R169" si="93">IF(H167-H166&lt;0,0,H167-H166)</f>
        <v>0</v>
      </c>
      <c r="I169" s="673">
        <f t="shared" si="93"/>
        <v>0</v>
      </c>
      <c r="J169" s="673">
        <f t="shared" si="93"/>
        <v>0</v>
      </c>
      <c r="K169" s="673">
        <f t="shared" si="93"/>
        <v>0</v>
      </c>
      <c r="L169" s="673">
        <f t="shared" si="93"/>
        <v>0</v>
      </c>
      <c r="M169" s="673">
        <f t="shared" si="93"/>
        <v>0</v>
      </c>
      <c r="N169" s="673">
        <f t="shared" si="93"/>
        <v>0</v>
      </c>
      <c r="O169" s="673">
        <f t="shared" si="93"/>
        <v>0</v>
      </c>
      <c r="P169" s="673">
        <f t="shared" si="93"/>
        <v>0</v>
      </c>
      <c r="Q169" s="673">
        <f t="shared" si="93"/>
        <v>0</v>
      </c>
      <c r="R169" s="673">
        <f t="shared" si="93"/>
        <v>0</v>
      </c>
    </row>
    <row r="170" spans="2:19" s="258" customFormat="1" ht="15" x14ac:dyDescent="0.25">
      <c r="B170" s="654" t="s">
        <v>327</v>
      </c>
      <c r="C170" s="654"/>
      <c r="D170" s="654"/>
      <c r="E170" s="672" t="s">
        <v>527</v>
      </c>
      <c r="F170" s="658">
        <f t="shared" si="90"/>
        <v>0</v>
      </c>
      <c r="G170" s="673">
        <f>IF(G166-G167&lt;0,0,G166-G167)</f>
        <v>0</v>
      </c>
      <c r="H170" s="673">
        <f t="shared" ref="H170:R170" si="94">IF(H166-H167&lt;0,0,H166-H167)</f>
        <v>0</v>
      </c>
      <c r="I170" s="673">
        <f t="shared" si="94"/>
        <v>0</v>
      </c>
      <c r="J170" s="673">
        <f t="shared" si="94"/>
        <v>0</v>
      </c>
      <c r="K170" s="673">
        <f t="shared" si="94"/>
        <v>0</v>
      </c>
      <c r="L170" s="673">
        <f t="shared" si="94"/>
        <v>0</v>
      </c>
      <c r="M170" s="673">
        <f t="shared" si="94"/>
        <v>0</v>
      </c>
      <c r="N170" s="673">
        <f t="shared" si="94"/>
        <v>0</v>
      </c>
      <c r="O170" s="673">
        <f t="shared" si="94"/>
        <v>0</v>
      </c>
      <c r="P170" s="673">
        <f t="shared" si="94"/>
        <v>0</v>
      </c>
      <c r="Q170" s="673">
        <f t="shared" si="94"/>
        <v>0</v>
      </c>
      <c r="R170" s="673">
        <f t="shared" si="94"/>
        <v>0</v>
      </c>
    </row>
    <row r="171" spans="2:19" s="258" customFormat="1" ht="15" x14ac:dyDescent="0.25">
      <c r="B171" s="674" t="s">
        <v>523</v>
      </c>
      <c r="C171" s="674"/>
      <c r="D171" s="674"/>
      <c r="E171" s="672" t="s">
        <v>528</v>
      </c>
      <c r="F171" s="675">
        <f>SUM(G171:R171)</f>
        <v>0</v>
      </c>
      <c r="G171" s="673">
        <f>IF(G166&gt;=G167,G167,G166)</f>
        <v>0</v>
      </c>
      <c r="H171" s="673">
        <f t="shared" ref="H171:R171" si="95">IF(H166&gt;=H167,H167,H166)</f>
        <v>0</v>
      </c>
      <c r="I171" s="673">
        <f t="shared" si="95"/>
        <v>0</v>
      </c>
      <c r="J171" s="673">
        <f t="shared" si="95"/>
        <v>0</v>
      </c>
      <c r="K171" s="673">
        <f t="shared" si="95"/>
        <v>0</v>
      </c>
      <c r="L171" s="673">
        <f t="shared" si="95"/>
        <v>0</v>
      </c>
      <c r="M171" s="673">
        <f t="shared" si="95"/>
        <v>0</v>
      </c>
      <c r="N171" s="673">
        <f t="shared" si="95"/>
        <v>0</v>
      </c>
      <c r="O171" s="673">
        <f t="shared" si="95"/>
        <v>0</v>
      </c>
      <c r="P171" s="673">
        <f t="shared" si="95"/>
        <v>0</v>
      </c>
      <c r="Q171" s="673">
        <f t="shared" si="95"/>
        <v>0</v>
      </c>
      <c r="R171" s="673">
        <f t="shared" si="95"/>
        <v>0</v>
      </c>
    </row>
    <row r="172" spans="2:19" x14ac:dyDescent="0.2">
      <c r="E172" s="457" t="s">
        <v>718</v>
      </c>
      <c r="F172" s="676">
        <f>'6. Building Potential Summary'!C48</f>
        <v>0</v>
      </c>
    </row>
    <row r="189" s="258" customFormat="1" ht="15" x14ac:dyDescent="0.25"/>
    <row r="190" s="258" customFormat="1" ht="15" x14ac:dyDescent="0.25"/>
    <row r="191" s="258" customFormat="1" ht="15" x14ac:dyDescent="0.25"/>
    <row r="192" s="258" customFormat="1" ht="15" x14ac:dyDescent="0.25"/>
    <row r="193" s="258" customFormat="1" ht="15" x14ac:dyDescent="0.25"/>
    <row r="194" s="258" customFormat="1" ht="15" x14ac:dyDescent="0.25"/>
    <row r="195" s="258" customFormat="1" ht="15" x14ac:dyDescent="0.25"/>
    <row r="196" s="258" customFormat="1" ht="15" x14ac:dyDescent="0.25"/>
    <row r="197" s="258" customFormat="1" ht="15" x14ac:dyDescent="0.25"/>
    <row r="198" s="258" customFormat="1" ht="15" x14ac:dyDescent="0.25"/>
    <row r="199" s="258" customFormat="1" ht="15" x14ac:dyDescent="0.25"/>
    <row r="200" s="258" customFormat="1" ht="15" x14ac:dyDescent="0.25"/>
    <row r="201" s="258" customFormat="1" ht="15" x14ac:dyDescent="0.25"/>
    <row r="233" spans="2:17" hidden="1" x14ac:dyDescent="0.2"/>
    <row r="234" spans="2:17" hidden="1" x14ac:dyDescent="0.2"/>
    <row r="235" spans="2:17" hidden="1" x14ac:dyDescent="0.2"/>
    <row r="236" spans="2:17" hidden="1" x14ac:dyDescent="0.2"/>
    <row r="237" spans="2:17" hidden="1" x14ac:dyDescent="0.2"/>
    <row r="238" spans="2:17" s="397" customFormat="1" ht="15.75" hidden="1" x14ac:dyDescent="0.25">
      <c r="B238" s="398" t="s">
        <v>618</v>
      </c>
      <c r="C238" s="399"/>
      <c r="D238" s="400"/>
      <c r="E238" s="400"/>
      <c r="F238" s="400"/>
      <c r="G238" s="400"/>
      <c r="H238" s="400"/>
      <c r="I238" s="400"/>
      <c r="J238" s="400"/>
      <c r="K238" s="400"/>
      <c r="L238" s="400"/>
      <c r="M238" s="400"/>
      <c r="N238" s="400"/>
      <c r="O238" s="400"/>
      <c r="Q238" s="401"/>
    </row>
    <row r="239" spans="2:17" hidden="1" x14ac:dyDescent="0.2"/>
    <row r="240" spans="2:17" ht="15.75" hidden="1" x14ac:dyDescent="0.25">
      <c r="B240" s="677" t="str">
        <f>C22</f>
        <v>SITE: Project Name -- Project Address</v>
      </c>
      <c r="C240" s="572" t="s">
        <v>617</v>
      </c>
      <c r="D240" s="572" t="s">
        <v>28</v>
      </c>
      <c r="E240" s="573" t="s">
        <v>29</v>
      </c>
      <c r="F240" s="573" t="s">
        <v>30</v>
      </c>
      <c r="G240" s="573" t="s">
        <v>31</v>
      </c>
      <c r="H240" s="573" t="s">
        <v>32</v>
      </c>
      <c r="I240" s="573" t="s">
        <v>33</v>
      </c>
      <c r="J240" s="573" t="s">
        <v>8</v>
      </c>
      <c r="K240" s="573" t="s">
        <v>9</v>
      </c>
      <c r="L240" s="573" t="s">
        <v>0</v>
      </c>
      <c r="M240" s="573" t="s">
        <v>2</v>
      </c>
      <c r="N240" s="573" t="s">
        <v>3</v>
      </c>
      <c r="O240" s="574" t="s">
        <v>4</v>
      </c>
      <c r="P240" s="574" t="s">
        <v>19</v>
      </c>
    </row>
    <row r="241" spans="2:16" ht="15" hidden="1" x14ac:dyDescent="0.25">
      <c r="B241" s="378" t="s">
        <v>588</v>
      </c>
      <c r="C241" s="379">
        <f>D28</f>
        <v>0</v>
      </c>
      <c r="D241" s="337">
        <f>$C$241/12</f>
        <v>0</v>
      </c>
      <c r="E241" s="337">
        <f t="shared" ref="E241:O241" si="96">$C$241/12</f>
        <v>0</v>
      </c>
      <c r="F241" s="337">
        <f t="shared" si="96"/>
        <v>0</v>
      </c>
      <c r="G241" s="337">
        <f t="shared" si="96"/>
        <v>0</v>
      </c>
      <c r="H241" s="337">
        <f t="shared" si="96"/>
        <v>0</v>
      </c>
      <c r="I241" s="337">
        <f t="shared" si="96"/>
        <v>0</v>
      </c>
      <c r="J241" s="337">
        <f t="shared" si="96"/>
        <v>0</v>
      </c>
      <c r="K241" s="337">
        <f t="shared" si="96"/>
        <v>0</v>
      </c>
      <c r="L241" s="337">
        <f t="shared" si="96"/>
        <v>0</v>
      </c>
      <c r="M241" s="337">
        <f t="shared" si="96"/>
        <v>0</v>
      </c>
      <c r="N241" s="337">
        <f t="shared" si="96"/>
        <v>0</v>
      </c>
      <c r="O241" s="337">
        <f t="shared" si="96"/>
        <v>0</v>
      </c>
      <c r="P241" s="678">
        <f>SUM(D241:O241)</f>
        <v>0</v>
      </c>
    </row>
    <row r="242" spans="2:16" ht="30" hidden="1" x14ac:dyDescent="0.25">
      <c r="B242" s="679" t="s">
        <v>589</v>
      </c>
      <c r="C242" s="680">
        <f>D32</f>
        <v>0</v>
      </c>
      <c r="D242" s="337">
        <f>$C$242/12</f>
        <v>0</v>
      </c>
      <c r="E242" s="337">
        <f t="shared" ref="E242:O242" si="97">$C$242/12</f>
        <v>0</v>
      </c>
      <c r="F242" s="337">
        <f t="shared" si="97"/>
        <v>0</v>
      </c>
      <c r="G242" s="337">
        <f t="shared" si="97"/>
        <v>0</v>
      </c>
      <c r="H242" s="337">
        <f t="shared" si="97"/>
        <v>0</v>
      </c>
      <c r="I242" s="337">
        <f t="shared" si="97"/>
        <v>0</v>
      </c>
      <c r="J242" s="337">
        <f t="shared" si="97"/>
        <v>0</v>
      </c>
      <c r="K242" s="337">
        <f t="shared" si="97"/>
        <v>0</v>
      </c>
      <c r="L242" s="337">
        <f t="shared" si="97"/>
        <v>0</v>
      </c>
      <c r="M242" s="337">
        <f t="shared" si="97"/>
        <v>0</v>
      </c>
      <c r="N242" s="337">
        <f t="shared" si="97"/>
        <v>0</v>
      </c>
      <c r="O242" s="337">
        <f t="shared" si="97"/>
        <v>0</v>
      </c>
      <c r="P242" s="678">
        <f t="shared" ref="P242:P249" si="98">SUM(D242:O242)</f>
        <v>0</v>
      </c>
    </row>
    <row r="243" spans="2:16" ht="15" hidden="1" x14ac:dyDescent="0.25">
      <c r="B243" s="378" t="s">
        <v>590</v>
      </c>
      <c r="C243" s="379">
        <f>D34</f>
        <v>0</v>
      </c>
      <c r="D243" s="337">
        <f>IF($C$34="Yes",'2. Indoor Water Demand'!F89,0)</f>
        <v>0</v>
      </c>
      <c r="E243" s="337" t="b">
        <f>IF($C$34="Yes",'2. Indoor Water Demand'!G89)</f>
        <v>0</v>
      </c>
      <c r="F243" s="337" t="b">
        <f>IF($C$34="Yes",'2. Indoor Water Demand'!H89)</f>
        <v>0</v>
      </c>
      <c r="G243" s="337" t="b">
        <f>IF($C$34="Yes",'2. Indoor Water Demand'!I89)</f>
        <v>0</v>
      </c>
      <c r="H243" s="337" t="b">
        <f>IF($C$34="Yes",'2. Indoor Water Demand'!J89)</f>
        <v>0</v>
      </c>
      <c r="I243" s="337" t="b">
        <f>IF($C$34="Yes",'2. Indoor Water Demand'!K89)</f>
        <v>0</v>
      </c>
      <c r="J243" s="337" t="b">
        <f>IF($C$34="Yes",'2. Indoor Water Demand'!L89)</f>
        <v>0</v>
      </c>
      <c r="K243" s="337" t="b">
        <f>IF($C$34="Yes",'2. Indoor Water Demand'!M89)</f>
        <v>0</v>
      </c>
      <c r="L243" s="337" t="b">
        <f>IF($C$34="Yes",'2. Indoor Water Demand'!N89)</f>
        <v>0</v>
      </c>
      <c r="M243" s="337" t="b">
        <f>IF($C$34="Yes",'2. Indoor Water Demand'!O89)</f>
        <v>0</v>
      </c>
      <c r="N243" s="337" t="b">
        <f>IF($C$34="Yes",'2. Indoor Water Demand'!P89)</f>
        <v>0</v>
      </c>
      <c r="O243" s="337" t="b">
        <f>IF($C$34="Yes",'2. Indoor Water Demand'!Q89)</f>
        <v>0</v>
      </c>
      <c r="P243" s="678">
        <f t="shared" si="98"/>
        <v>0</v>
      </c>
    </row>
    <row r="244" spans="2:16" ht="15" hidden="1" x14ac:dyDescent="0.25">
      <c r="B244" s="378" t="s">
        <v>602</v>
      </c>
      <c r="C244" s="379">
        <f>D41</f>
        <v>0</v>
      </c>
      <c r="D244" s="337">
        <f>IF($C$40="Manual Entry",$D$40/12,(SUM($D$37:$D$39)/12))</f>
        <v>0</v>
      </c>
      <c r="E244" s="337">
        <f t="shared" ref="E244:O244" si="99">IF($C$40="Manual Entry",$D$40/12,(SUM($D$37:$D$39)/12))</f>
        <v>0</v>
      </c>
      <c r="F244" s="337">
        <f t="shared" si="99"/>
        <v>0</v>
      </c>
      <c r="G244" s="337">
        <f t="shared" si="99"/>
        <v>0</v>
      </c>
      <c r="H244" s="337">
        <f t="shared" si="99"/>
        <v>0</v>
      </c>
      <c r="I244" s="337">
        <f t="shared" si="99"/>
        <v>0</v>
      </c>
      <c r="J244" s="337">
        <f t="shared" si="99"/>
        <v>0</v>
      </c>
      <c r="K244" s="337">
        <f t="shared" si="99"/>
        <v>0</v>
      </c>
      <c r="L244" s="337">
        <f t="shared" si="99"/>
        <v>0</v>
      </c>
      <c r="M244" s="337">
        <f t="shared" si="99"/>
        <v>0</v>
      </c>
      <c r="N244" s="337">
        <f t="shared" si="99"/>
        <v>0</v>
      </c>
      <c r="O244" s="337">
        <f t="shared" si="99"/>
        <v>0</v>
      </c>
      <c r="P244" s="678">
        <f t="shared" si="98"/>
        <v>0</v>
      </c>
    </row>
    <row r="245" spans="2:16" ht="15" hidden="1" x14ac:dyDescent="0.25">
      <c r="B245" s="681" t="s">
        <v>244</v>
      </c>
      <c r="C245" s="682">
        <f>D42</f>
        <v>0</v>
      </c>
      <c r="D245" s="680">
        <f>SUM(D241:D244)</f>
        <v>0</v>
      </c>
      <c r="E245" s="680">
        <f t="shared" ref="E245:O245" si="100">SUM(E241:E244)</f>
        <v>0</v>
      </c>
      <c r="F245" s="680">
        <f t="shared" si="100"/>
        <v>0</v>
      </c>
      <c r="G245" s="680">
        <f t="shared" si="100"/>
        <v>0</v>
      </c>
      <c r="H245" s="680">
        <f t="shared" si="100"/>
        <v>0</v>
      </c>
      <c r="I245" s="680">
        <f t="shared" si="100"/>
        <v>0</v>
      </c>
      <c r="J245" s="680">
        <f t="shared" si="100"/>
        <v>0</v>
      </c>
      <c r="K245" s="680">
        <f t="shared" si="100"/>
        <v>0</v>
      </c>
      <c r="L245" s="680">
        <f t="shared" si="100"/>
        <v>0</v>
      </c>
      <c r="M245" s="680">
        <f t="shared" si="100"/>
        <v>0</v>
      </c>
      <c r="N245" s="680">
        <f t="shared" si="100"/>
        <v>0</v>
      </c>
      <c r="O245" s="680">
        <f t="shared" si="100"/>
        <v>0</v>
      </c>
      <c r="P245" s="683">
        <f t="shared" si="98"/>
        <v>0</v>
      </c>
    </row>
    <row r="246" spans="2:16" ht="15" hidden="1" x14ac:dyDescent="0.25">
      <c r="B246" s="378" t="s">
        <v>600</v>
      </c>
      <c r="C246" s="379">
        <f>D48</f>
        <v>0</v>
      </c>
      <c r="D246" s="337">
        <f>IF($C$47="Manual Entry",'4. Outdoor Water Demand'!C99,IF('7. Project Definition'!$C$46="Yes",'4. Outdoor Water Demand'!C91,0))</f>
        <v>0</v>
      </c>
      <c r="E246" s="337">
        <f>IF($C$47="Manual Entry",'4. Outdoor Water Demand'!D99,IF('7. Project Definition'!$C$46="Yes",'4. Outdoor Water Demand'!D91,0))</f>
        <v>0</v>
      </c>
      <c r="F246" s="337">
        <f>IF($C$47="Manual Entry",'4. Outdoor Water Demand'!E99,IF('7. Project Definition'!$C$46="Yes",'4. Outdoor Water Demand'!E91,0))</f>
        <v>0</v>
      </c>
      <c r="G246" s="337">
        <f>IF($C$47="Manual Entry",'4. Outdoor Water Demand'!F99,IF('7. Project Definition'!$C$46="Yes",'4. Outdoor Water Demand'!F91,0))</f>
        <v>0</v>
      </c>
      <c r="H246" s="337">
        <f>IF($C$47="Manual Entry",'4. Outdoor Water Demand'!G99,IF('7. Project Definition'!$C$46="Yes",'4. Outdoor Water Demand'!G91,0))</f>
        <v>0</v>
      </c>
      <c r="I246" s="337">
        <f>IF($C$47="Manual Entry",'4. Outdoor Water Demand'!H99,IF('7. Project Definition'!$C$46="Yes",'4. Outdoor Water Demand'!H91,0))</f>
        <v>0</v>
      </c>
      <c r="J246" s="337">
        <f>IF($C$47="Manual Entry",'4. Outdoor Water Demand'!I99,IF('7. Project Definition'!$C$46="Yes",'4. Outdoor Water Demand'!I91,0))</f>
        <v>0</v>
      </c>
      <c r="K246" s="337">
        <f>IF($C$47="Manual Entry",'4. Outdoor Water Demand'!J99,IF('7. Project Definition'!$C$46="Yes",'4. Outdoor Water Demand'!J91,0))</f>
        <v>0</v>
      </c>
      <c r="L246" s="337">
        <f>IF($C$47="Manual Entry",'4. Outdoor Water Demand'!K99,IF('7. Project Definition'!$C$46="Yes",'4. Outdoor Water Demand'!K91,0))</f>
        <v>0</v>
      </c>
      <c r="M246" s="337">
        <f>IF($C$47="Manual Entry",'4. Outdoor Water Demand'!L99,IF('7. Project Definition'!$C$46="Yes",'4. Outdoor Water Demand'!L91,0))</f>
        <v>0</v>
      </c>
      <c r="N246" s="337">
        <f>IF($C$47="Manual Entry",'4. Outdoor Water Demand'!M99,IF('7. Project Definition'!$C$46="Yes",'4. Outdoor Water Demand'!M91,0))</f>
        <v>0</v>
      </c>
      <c r="O246" s="337">
        <f>IF($C$47="Manual Entry",'4. Outdoor Water Demand'!N99,IF('7. Project Definition'!$C$46="Yes",'4. Outdoor Water Demand'!N91,0))</f>
        <v>0</v>
      </c>
      <c r="P246" s="678">
        <f t="shared" si="98"/>
        <v>0</v>
      </c>
    </row>
    <row r="247" spans="2:16" ht="15" hidden="1" x14ac:dyDescent="0.25">
      <c r="B247" s="378" t="s">
        <v>601</v>
      </c>
      <c r="C247" s="379">
        <f>D53</f>
        <v>0</v>
      </c>
      <c r="D247" s="337">
        <f>IF($C$52="Manual Entry",$D$52/12,(SUM($D$50:$D$51)/12))</f>
        <v>0</v>
      </c>
      <c r="E247" s="337">
        <f t="shared" ref="E247:O247" si="101">IF($C$52="Manual Entry",$D$52/12,(SUM($D$50:$D$51)/12))</f>
        <v>0</v>
      </c>
      <c r="F247" s="337">
        <f t="shared" si="101"/>
        <v>0</v>
      </c>
      <c r="G247" s="337">
        <f t="shared" si="101"/>
        <v>0</v>
      </c>
      <c r="H247" s="337">
        <f t="shared" si="101"/>
        <v>0</v>
      </c>
      <c r="I247" s="337">
        <f t="shared" si="101"/>
        <v>0</v>
      </c>
      <c r="J247" s="337">
        <f t="shared" si="101"/>
        <v>0</v>
      </c>
      <c r="K247" s="337">
        <f t="shared" si="101"/>
        <v>0</v>
      </c>
      <c r="L247" s="337">
        <f t="shared" si="101"/>
        <v>0</v>
      </c>
      <c r="M247" s="337">
        <f t="shared" si="101"/>
        <v>0</v>
      </c>
      <c r="N247" s="337">
        <f t="shared" si="101"/>
        <v>0</v>
      </c>
      <c r="O247" s="337">
        <f t="shared" si="101"/>
        <v>0</v>
      </c>
      <c r="P247" s="678">
        <f t="shared" si="98"/>
        <v>0</v>
      </c>
    </row>
    <row r="248" spans="2:16" ht="15" hidden="1" x14ac:dyDescent="0.25">
      <c r="B248" s="681" t="s">
        <v>245</v>
      </c>
      <c r="C248" s="682">
        <f>D54</f>
        <v>0</v>
      </c>
      <c r="D248" s="379">
        <f>SUM(D246:D247)</f>
        <v>0</v>
      </c>
      <c r="E248" s="379">
        <f t="shared" ref="E248:O248" si="102">SUM(E246:E247)</f>
        <v>0</v>
      </c>
      <c r="F248" s="379">
        <f t="shared" si="102"/>
        <v>0</v>
      </c>
      <c r="G248" s="379">
        <f t="shared" si="102"/>
        <v>0</v>
      </c>
      <c r="H248" s="379">
        <f t="shared" si="102"/>
        <v>0</v>
      </c>
      <c r="I248" s="379">
        <f t="shared" si="102"/>
        <v>0</v>
      </c>
      <c r="J248" s="379">
        <f t="shared" si="102"/>
        <v>0</v>
      </c>
      <c r="K248" s="379">
        <f t="shared" si="102"/>
        <v>0</v>
      </c>
      <c r="L248" s="379">
        <f t="shared" si="102"/>
        <v>0</v>
      </c>
      <c r="M248" s="379">
        <f t="shared" si="102"/>
        <v>0</v>
      </c>
      <c r="N248" s="379">
        <f t="shared" si="102"/>
        <v>0</v>
      </c>
      <c r="O248" s="379">
        <f t="shared" si="102"/>
        <v>0</v>
      </c>
      <c r="P248" s="678">
        <f t="shared" si="98"/>
        <v>0</v>
      </c>
    </row>
    <row r="249" spans="2:16" ht="15" hidden="1" x14ac:dyDescent="0.25">
      <c r="B249" s="684" t="s">
        <v>615</v>
      </c>
      <c r="C249" s="317">
        <f>D56</f>
        <v>0</v>
      </c>
      <c r="D249" s="317">
        <f>SUM(D245,D248)</f>
        <v>0</v>
      </c>
      <c r="E249" s="317">
        <f t="shared" ref="E249:O249" si="103">SUM(E245,E248)</f>
        <v>0</v>
      </c>
      <c r="F249" s="317">
        <f t="shared" si="103"/>
        <v>0</v>
      </c>
      <c r="G249" s="317">
        <f t="shared" si="103"/>
        <v>0</v>
      </c>
      <c r="H249" s="317">
        <f t="shared" si="103"/>
        <v>0</v>
      </c>
      <c r="I249" s="317">
        <f t="shared" si="103"/>
        <v>0</v>
      </c>
      <c r="J249" s="317">
        <f t="shared" si="103"/>
        <v>0</v>
      </c>
      <c r="K249" s="317">
        <f t="shared" si="103"/>
        <v>0</v>
      </c>
      <c r="L249" s="317">
        <f t="shared" si="103"/>
        <v>0</v>
      </c>
      <c r="M249" s="317">
        <f t="shared" si="103"/>
        <v>0</v>
      </c>
      <c r="N249" s="317">
        <f t="shared" si="103"/>
        <v>0</v>
      </c>
      <c r="O249" s="317">
        <f t="shared" si="103"/>
        <v>0</v>
      </c>
      <c r="P249" s="667">
        <f t="shared" si="98"/>
        <v>0</v>
      </c>
    </row>
    <row r="250" spans="2:16" hidden="1" x14ac:dyDescent="0.2"/>
    <row r="251" spans="2:16" hidden="1" x14ac:dyDescent="0.2"/>
    <row r="252" spans="2:16" ht="15.75" hidden="1" x14ac:dyDescent="0.25">
      <c r="B252" s="677" t="e">
        <f>#REF!</f>
        <v>#REF!</v>
      </c>
      <c r="C252" s="572"/>
      <c r="D252" s="572"/>
      <c r="E252" s="573"/>
      <c r="F252" s="573"/>
      <c r="G252" s="573"/>
      <c r="H252" s="573"/>
      <c r="I252" s="573"/>
      <c r="J252" s="573"/>
      <c r="K252" s="573"/>
      <c r="L252" s="573"/>
      <c r="M252" s="573"/>
      <c r="N252" s="573"/>
      <c r="O252" s="574"/>
      <c r="P252" s="574"/>
    </row>
    <row r="253" spans="2:16" ht="15" hidden="1" x14ac:dyDescent="0.25">
      <c r="B253" s="378" t="s">
        <v>588</v>
      </c>
      <c r="C253" s="379"/>
      <c r="D253" s="337"/>
      <c r="E253" s="337"/>
      <c r="F253" s="337"/>
      <c r="G253" s="337"/>
      <c r="H253" s="337"/>
      <c r="I253" s="337"/>
      <c r="J253" s="337"/>
      <c r="K253" s="337"/>
      <c r="L253" s="337"/>
      <c r="M253" s="337"/>
      <c r="N253" s="337"/>
      <c r="O253" s="337"/>
      <c r="P253" s="678"/>
    </row>
    <row r="254" spans="2:16" ht="30" hidden="1" x14ac:dyDescent="0.25">
      <c r="B254" s="679" t="s">
        <v>589</v>
      </c>
      <c r="C254" s="680"/>
      <c r="D254" s="337"/>
      <c r="E254" s="337"/>
      <c r="F254" s="337"/>
      <c r="G254" s="337"/>
      <c r="H254" s="337"/>
      <c r="I254" s="337"/>
      <c r="J254" s="337"/>
      <c r="K254" s="337"/>
      <c r="L254" s="337"/>
      <c r="M254" s="337"/>
      <c r="N254" s="337"/>
      <c r="O254" s="337"/>
      <c r="P254" s="678"/>
    </row>
    <row r="255" spans="2:16" ht="15" hidden="1" x14ac:dyDescent="0.25">
      <c r="B255" s="378" t="s">
        <v>590</v>
      </c>
      <c r="C255" s="379"/>
      <c r="D255" s="337"/>
      <c r="E255" s="337"/>
      <c r="F255" s="337"/>
      <c r="G255" s="337"/>
      <c r="H255" s="337"/>
      <c r="I255" s="337"/>
      <c r="J255" s="337"/>
      <c r="K255" s="337"/>
      <c r="L255" s="337"/>
      <c r="M255" s="337"/>
      <c r="N255" s="337"/>
      <c r="O255" s="337"/>
      <c r="P255" s="678"/>
    </row>
    <row r="256" spans="2:16" ht="15" hidden="1" x14ac:dyDescent="0.25">
      <c r="B256" s="378" t="s">
        <v>602</v>
      </c>
      <c r="C256" s="379"/>
      <c r="D256" s="337"/>
      <c r="E256" s="337"/>
      <c r="F256" s="337"/>
      <c r="G256" s="337"/>
      <c r="H256" s="337"/>
      <c r="I256" s="337"/>
      <c r="J256" s="337"/>
      <c r="K256" s="337"/>
      <c r="L256" s="337"/>
      <c r="M256" s="337"/>
      <c r="N256" s="337"/>
      <c r="O256" s="337"/>
      <c r="P256" s="678"/>
    </row>
    <row r="257" spans="2:16" ht="15" hidden="1" x14ac:dyDescent="0.25">
      <c r="B257" s="681" t="s">
        <v>244</v>
      </c>
      <c r="C257" s="682"/>
      <c r="D257" s="680"/>
      <c r="E257" s="680"/>
      <c r="F257" s="680"/>
      <c r="G257" s="680"/>
      <c r="H257" s="680"/>
      <c r="I257" s="680"/>
      <c r="J257" s="680"/>
      <c r="K257" s="680"/>
      <c r="L257" s="680"/>
      <c r="M257" s="680"/>
      <c r="N257" s="680"/>
      <c r="O257" s="680"/>
      <c r="P257" s="683"/>
    </row>
    <row r="258" spans="2:16" ht="15" hidden="1" x14ac:dyDescent="0.25">
      <c r="B258" s="378" t="s">
        <v>600</v>
      </c>
      <c r="C258" s="379"/>
      <c r="D258" s="337"/>
      <c r="E258" s="337"/>
      <c r="F258" s="337"/>
      <c r="G258" s="337"/>
      <c r="H258" s="337"/>
      <c r="I258" s="337"/>
      <c r="J258" s="337"/>
      <c r="K258" s="337"/>
      <c r="L258" s="337"/>
      <c r="M258" s="337"/>
      <c r="N258" s="337"/>
      <c r="O258" s="337"/>
      <c r="P258" s="678"/>
    </row>
    <row r="259" spans="2:16" ht="15" hidden="1" x14ac:dyDescent="0.25">
      <c r="B259" s="378" t="s">
        <v>601</v>
      </c>
      <c r="C259" s="379"/>
      <c r="D259" s="337"/>
      <c r="E259" s="337"/>
      <c r="F259" s="337"/>
      <c r="G259" s="337"/>
      <c r="H259" s="337"/>
      <c r="I259" s="337"/>
      <c r="J259" s="337"/>
      <c r="K259" s="337"/>
      <c r="L259" s="337"/>
      <c r="M259" s="337"/>
      <c r="N259" s="337"/>
      <c r="O259" s="337"/>
      <c r="P259" s="678"/>
    </row>
    <row r="260" spans="2:16" ht="15" hidden="1" x14ac:dyDescent="0.25">
      <c r="B260" s="681" t="s">
        <v>245</v>
      </c>
      <c r="C260" s="682"/>
      <c r="D260" s="379"/>
      <c r="E260" s="379"/>
      <c r="F260" s="379"/>
      <c r="G260" s="379"/>
      <c r="H260" s="379"/>
      <c r="I260" s="379"/>
      <c r="J260" s="379"/>
      <c r="K260" s="379"/>
      <c r="L260" s="379"/>
      <c r="M260" s="379"/>
      <c r="N260" s="379"/>
      <c r="O260" s="379"/>
      <c r="P260" s="678"/>
    </row>
    <row r="261" spans="2:16" ht="15" hidden="1" x14ac:dyDescent="0.25">
      <c r="B261" s="684" t="s">
        <v>615</v>
      </c>
      <c r="C261" s="317"/>
      <c r="D261" s="317"/>
      <c r="E261" s="317"/>
      <c r="F261" s="317"/>
      <c r="G261" s="317"/>
      <c r="H261" s="317"/>
      <c r="I261" s="317"/>
      <c r="J261" s="317"/>
      <c r="K261" s="317"/>
      <c r="L261" s="317"/>
      <c r="M261" s="317"/>
      <c r="N261" s="317"/>
      <c r="O261" s="317"/>
      <c r="P261" s="667"/>
    </row>
    <row r="262" spans="2:16" hidden="1" x14ac:dyDescent="0.2"/>
    <row r="263" spans="2:16" hidden="1" x14ac:dyDescent="0.2"/>
    <row r="264" spans="2:16" ht="15.75" hidden="1" x14ac:dyDescent="0.25">
      <c r="B264" s="677" t="e">
        <f>#REF!</f>
        <v>#REF!</v>
      </c>
      <c r="C264" s="572"/>
      <c r="D264" s="572"/>
      <c r="E264" s="573"/>
      <c r="F264" s="573"/>
      <c r="G264" s="573"/>
      <c r="H264" s="573"/>
      <c r="I264" s="573"/>
      <c r="J264" s="573"/>
      <c r="K264" s="573"/>
      <c r="L264" s="573"/>
      <c r="M264" s="573"/>
      <c r="N264" s="573"/>
      <c r="O264" s="574"/>
      <c r="P264" s="574"/>
    </row>
    <row r="265" spans="2:16" ht="15" hidden="1" x14ac:dyDescent="0.25">
      <c r="B265" s="378" t="s">
        <v>588</v>
      </c>
      <c r="C265" s="379"/>
      <c r="D265" s="337"/>
      <c r="E265" s="337"/>
      <c r="F265" s="337"/>
      <c r="G265" s="337"/>
      <c r="H265" s="337"/>
      <c r="I265" s="337"/>
      <c r="J265" s="337"/>
      <c r="K265" s="337"/>
      <c r="L265" s="337"/>
      <c r="M265" s="337"/>
      <c r="N265" s="337"/>
      <c r="O265" s="337"/>
      <c r="P265" s="678"/>
    </row>
    <row r="266" spans="2:16" ht="30" hidden="1" x14ac:dyDescent="0.25">
      <c r="B266" s="679" t="s">
        <v>589</v>
      </c>
      <c r="C266" s="680"/>
      <c r="D266" s="337"/>
      <c r="E266" s="337"/>
      <c r="F266" s="337"/>
      <c r="G266" s="337"/>
      <c r="H266" s="337"/>
      <c r="I266" s="337"/>
      <c r="J266" s="337"/>
      <c r="K266" s="337"/>
      <c r="L266" s="337"/>
      <c r="M266" s="337"/>
      <c r="N266" s="337"/>
      <c r="O266" s="337"/>
      <c r="P266" s="678"/>
    </row>
    <row r="267" spans="2:16" ht="15" hidden="1" x14ac:dyDescent="0.25">
      <c r="B267" s="378" t="s">
        <v>590</v>
      </c>
      <c r="C267" s="379"/>
      <c r="D267" s="337"/>
      <c r="E267" s="337"/>
      <c r="F267" s="337"/>
      <c r="G267" s="337"/>
      <c r="H267" s="337"/>
      <c r="I267" s="337"/>
      <c r="J267" s="337"/>
      <c r="K267" s="337"/>
      <c r="L267" s="337"/>
      <c r="M267" s="337"/>
      <c r="N267" s="337"/>
      <c r="O267" s="337"/>
      <c r="P267" s="678"/>
    </row>
    <row r="268" spans="2:16" ht="15" hidden="1" x14ac:dyDescent="0.25">
      <c r="B268" s="378" t="s">
        <v>602</v>
      </c>
      <c r="C268" s="379"/>
      <c r="D268" s="337"/>
      <c r="E268" s="337"/>
      <c r="F268" s="337"/>
      <c r="G268" s="337"/>
      <c r="H268" s="337"/>
      <c r="I268" s="337"/>
      <c r="J268" s="337"/>
      <c r="K268" s="337"/>
      <c r="L268" s="337"/>
      <c r="M268" s="337"/>
      <c r="N268" s="337"/>
      <c r="O268" s="337"/>
      <c r="P268" s="678"/>
    </row>
    <row r="269" spans="2:16" ht="15" hidden="1" x14ac:dyDescent="0.25">
      <c r="B269" s="681" t="s">
        <v>244</v>
      </c>
      <c r="C269" s="682"/>
      <c r="D269" s="680"/>
      <c r="E269" s="680"/>
      <c r="F269" s="680"/>
      <c r="G269" s="680"/>
      <c r="H269" s="680"/>
      <c r="I269" s="680"/>
      <c r="J269" s="680"/>
      <c r="K269" s="680"/>
      <c r="L269" s="680"/>
      <c r="M269" s="680"/>
      <c r="N269" s="680"/>
      <c r="O269" s="680"/>
      <c r="P269" s="683"/>
    </row>
    <row r="270" spans="2:16" ht="15" hidden="1" x14ac:dyDescent="0.25">
      <c r="B270" s="378" t="s">
        <v>600</v>
      </c>
      <c r="C270" s="379"/>
      <c r="D270" s="337"/>
      <c r="E270" s="337"/>
      <c r="F270" s="337"/>
      <c r="G270" s="337"/>
      <c r="H270" s="337"/>
      <c r="I270" s="337"/>
      <c r="J270" s="337"/>
      <c r="K270" s="337"/>
      <c r="L270" s="337"/>
      <c r="M270" s="337"/>
      <c r="N270" s="337"/>
      <c r="O270" s="337"/>
      <c r="P270" s="678"/>
    </row>
    <row r="271" spans="2:16" ht="15" hidden="1" x14ac:dyDescent="0.25">
      <c r="B271" s="378" t="s">
        <v>601</v>
      </c>
      <c r="C271" s="379"/>
      <c r="D271" s="337"/>
      <c r="E271" s="337"/>
      <c r="F271" s="337"/>
      <c r="G271" s="337"/>
      <c r="H271" s="337"/>
      <c r="I271" s="337"/>
      <c r="J271" s="337"/>
      <c r="K271" s="337"/>
      <c r="L271" s="337"/>
      <c r="M271" s="337"/>
      <c r="N271" s="337"/>
      <c r="O271" s="337"/>
      <c r="P271" s="678"/>
    </row>
    <row r="272" spans="2:16" ht="15" hidden="1" x14ac:dyDescent="0.25">
      <c r="B272" s="681" t="s">
        <v>245</v>
      </c>
      <c r="C272" s="682"/>
      <c r="D272" s="379"/>
      <c r="E272" s="379"/>
      <c r="F272" s="379"/>
      <c r="G272" s="379"/>
      <c r="H272" s="379"/>
      <c r="I272" s="379"/>
      <c r="J272" s="379"/>
      <c r="K272" s="379"/>
      <c r="L272" s="379"/>
      <c r="M272" s="379"/>
      <c r="N272" s="379"/>
      <c r="O272" s="379"/>
      <c r="P272" s="678"/>
    </row>
    <row r="273" spans="2:16" ht="15" hidden="1" x14ac:dyDescent="0.25">
      <c r="B273" s="684" t="s">
        <v>615</v>
      </c>
      <c r="C273" s="317"/>
      <c r="D273" s="317"/>
      <c r="E273" s="317"/>
      <c r="F273" s="317"/>
      <c r="G273" s="317"/>
      <c r="H273" s="317"/>
      <c r="I273" s="317"/>
      <c r="J273" s="317"/>
      <c r="K273" s="317"/>
      <c r="L273" s="317"/>
      <c r="M273" s="317"/>
      <c r="N273" s="317"/>
      <c r="O273" s="317"/>
      <c r="P273" s="667"/>
    </row>
    <row r="274" spans="2:16" hidden="1" x14ac:dyDescent="0.2"/>
    <row r="275" spans="2:16" hidden="1" x14ac:dyDescent="0.2"/>
    <row r="313" spans="2:17" s="331" customFormat="1" ht="18.75" x14ac:dyDescent="0.3">
      <c r="B313" s="1801" t="s">
        <v>280</v>
      </c>
      <c r="C313" s="1801"/>
      <c r="D313" s="1801"/>
      <c r="E313" s="1801"/>
      <c r="F313" s="1801"/>
      <c r="G313" s="1801"/>
      <c r="H313" s="330"/>
      <c r="I313" s="330"/>
      <c r="J313" s="330"/>
      <c r="K313" s="330"/>
      <c r="L313" s="330"/>
      <c r="Q313" s="685"/>
    </row>
  </sheetData>
  <sheetProtection algorithmName="SHA-512" hashValue="0fAFL2H0FAH3AM1SNkiVw8r5iuWGqYRpes5JDNqY7TLOVM2HKnLFt7MIEjF2BjWmWessSglGrX8mLi76ZzAUGA==" saltValue="7i9GbjAx/+JkP56XPw9vyQ==" spinCount="100000" sheet="1" objects="1" scenarios="1" selectLockedCells="1"/>
  <customSheetViews>
    <customSheetView guid="{27ECCA9D-8222-4026-A3C8-C768CAE028E0}" scale="80" fitToPage="1" hiddenRows="1" topLeftCell="A7">
      <selection activeCell="C27" sqref="C27"/>
      <rowBreaks count="4" manualBreakCount="4">
        <brk id="35" max="18" man="1"/>
        <brk id="79" max="18" man="1"/>
        <brk id="127" max="18" man="1"/>
        <brk id="185" max="18" man="1"/>
      </rowBreaks>
      <pageMargins left="0.5" right="0.5" top="0.35" bottom="0.4" header="0.35" footer="0.4"/>
      <pageSetup scale="47" fitToHeight="0" orientation="landscape" r:id="rId1"/>
      <headerFooter alignWithMargins="0">
        <oddFooter>&amp;LApril 2014&amp;C&amp;A&amp;RPage &amp;P of &amp;N</oddFooter>
      </headerFooter>
    </customSheetView>
    <customSheetView guid="{D635BEAF-4410-44C3-8109-399BEE34BBD8}" scale="80" fitToPage="1" hiddenRows="1">
      <selection activeCell="E155" sqref="E155"/>
      <rowBreaks count="4" manualBreakCount="4">
        <brk id="35" max="18" man="1"/>
        <brk id="79" max="18" man="1"/>
        <brk id="127" max="18" man="1"/>
        <brk id="185" max="18" man="1"/>
      </rowBreaks>
      <pageMargins left="0.5" right="0.5" top="0.35" bottom="0.4" header="0.35" footer="0.4"/>
      <pageSetup scale="47" fitToHeight="0" orientation="landscape" r:id="rId2"/>
      <headerFooter alignWithMargins="0">
        <oddFooter>&amp;LApril 2014&amp;C&amp;A&amp;RPage &amp;P of &amp;N</oddFooter>
      </headerFooter>
    </customSheetView>
  </customSheetViews>
  <mergeCells count="7">
    <mergeCell ref="B313:G313"/>
    <mergeCell ref="B7:D9"/>
    <mergeCell ref="B13:J13"/>
    <mergeCell ref="B15:J15"/>
    <mergeCell ref="B11:J11"/>
    <mergeCell ref="B102:R102"/>
    <mergeCell ref="C127:D127"/>
  </mergeCells>
  <conditionalFormatting sqref="D27">
    <cfRule type="expression" dxfId="42" priority="159">
      <formula>$C$27="Manual Entry"</formula>
    </cfRule>
  </conditionalFormatting>
  <conditionalFormatting sqref="D31">
    <cfRule type="expression" dxfId="41" priority="151">
      <formula>C31="Manual Entry"</formula>
    </cfRule>
  </conditionalFormatting>
  <conditionalFormatting sqref="D25:D26 D246:P248">
    <cfRule type="expression" dxfId="40" priority="143">
      <formula>C27="Manual Entry"</formula>
    </cfRule>
  </conditionalFormatting>
  <conditionalFormatting sqref="D26">
    <cfRule type="expression" dxfId="39" priority="140">
      <formula>C27="Manual Entry"</formula>
    </cfRule>
  </conditionalFormatting>
  <conditionalFormatting sqref="D30">
    <cfRule type="expression" dxfId="38" priority="135">
      <formula>C32="Manual Entry"</formula>
    </cfRule>
  </conditionalFormatting>
  <conditionalFormatting sqref="D30">
    <cfRule type="expression" dxfId="37" priority="134">
      <formula>C31="Manual Entry"</formula>
    </cfRule>
  </conditionalFormatting>
  <conditionalFormatting sqref="D34">
    <cfRule type="expression" dxfId="36" priority="129">
      <formula>C35="Manual Entry"</formula>
    </cfRule>
  </conditionalFormatting>
  <conditionalFormatting sqref="D40">
    <cfRule type="expression" dxfId="35" priority="122">
      <formula>C40="Manual Entry"</formula>
    </cfRule>
  </conditionalFormatting>
  <conditionalFormatting sqref="D37:D39">
    <cfRule type="expression" dxfId="34" priority="119">
      <formula>$C$40="Manual Entry"</formula>
    </cfRule>
  </conditionalFormatting>
  <conditionalFormatting sqref="D47">
    <cfRule type="expression" dxfId="33" priority="115">
      <formula>C47="Manual Entry"</formula>
    </cfRule>
  </conditionalFormatting>
  <conditionalFormatting sqref="D46">
    <cfRule type="expression" dxfId="32" priority="112">
      <formula>C47="Manual Entry"</formula>
    </cfRule>
  </conditionalFormatting>
  <conditionalFormatting sqref="D52">
    <cfRule type="expression" dxfId="31" priority="109">
      <formula>C52="Manual Entry"</formula>
    </cfRule>
  </conditionalFormatting>
  <conditionalFormatting sqref="D50">
    <cfRule type="expression" dxfId="30" priority="103">
      <formula>C52="Manual Entry"</formula>
    </cfRule>
  </conditionalFormatting>
  <conditionalFormatting sqref="D51">
    <cfRule type="expression" dxfId="29" priority="102">
      <formula>C52="Manual Entry"</formula>
    </cfRule>
  </conditionalFormatting>
  <conditionalFormatting sqref="D71">
    <cfRule type="expression" dxfId="28" priority="97">
      <formula>C71="Manual Entry"</formula>
    </cfRule>
  </conditionalFormatting>
  <conditionalFormatting sqref="D68:D70">
    <cfRule type="expression" dxfId="27" priority="94">
      <formula>$C$71="Manual Entry"</formula>
    </cfRule>
  </conditionalFormatting>
  <conditionalFormatting sqref="D77">
    <cfRule type="expression" dxfId="26" priority="91">
      <formula>C77="Manual Entry"</formula>
    </cfRule>
  </conditionalFormatting>
  <conditionalFormatting sqref="D73:D76">
    <cfRule type="expression" dxfId="25" priority="88">
      <formula>C$77="Manual Entry"</formula>
    </cfRule>
  </conditionalFormatting>
  <conditionalFormatting sqref="D86">
    <cfRule type="expression" dxfId="24" priority="85">
      <formula>C86="Manual Entry"</formula>
    </cfRule>
  </conditionalFormatting>
  <conditionalFormatting sqref="D82:D85">
    <cfRule type="expression" dxfId="23" priority="82">
      <formula>C$86="Manual Entry"</formula>
    </cfRule>
  </conditionalFormatting>
  <conditionalFormatting sqref="D92">
    <cfRule type="expression" dxfId="22" priority="79">
      <formula>C92="Manual Entry"</formula>
    </cfRule>
  </conditionalFormatting>
  <conditionalFormatting sqref="D88 D90:D91">
    <cfRule type="expression" dxfId="21" priority="76">
      <formula>C$92="Manual Entry"</formula>
    </cfRule>
  </conditionalFormatting>
  <conditionalFormatting sqref="D99">
    <cfRule type="expression" dxfId="20" priority="73">
      <formula>C99="Manual Entry"</formula>
    </cfRule>
  </conditionalFormatting>
  <conditionalFormatting sqref="D98">
    <cfRule type="expression" dxfId="19" priority="70">
      <formula>C$99="Manual Entry"</formula>
    </cfRule>
  </conditionalFormatting>
  <conditionalFormatting sqref="D105">
    <cfRule type="expression" dxfId="18" priority="61">
      <formula>C105="Manual Entry"</formula>
    </cfRule>
  </conditionalFormatting>
  <conditionalFormatting sqref="D106">
    <cfRule type="expression" dxfId="17" priority="58">
      <formula>C106="Manual Entry"</formula>
    </cfRule>
  </conditionalFormatting>
  <conditionalFormatting sqref="C105">
    <cfRule type="expression" dxfId="16" priority="55">
      <formula>B105="Manual Entry"</formula>
    </cfRule>
  </conditionalFormatting>
  <conditionalFormatting sqref="G106:R106">
    <cfRule type="expression" dxfId="15" priority="52">
      <formula>$C$106="Manual Entry"</formula>
    </cfRule>
  </conditionalFormatting>
  <conditionalFormatting sqref="D104">
    <cfRule type="expression" dxfId="14" priority="49">
      <formula>$C$106="Manual Entry"</formula>
    </cfRule>
  </conditionalFormatting>
  <conditionalFormatting sqref="D132">
    <cfRule type="expression" dxfId="13" priority="33">
      <formula>C132="Manual Entry"</formula>
    </cfRule>
  </conditionalFormatting>
  <conditionalFormatting sqref="D130">
    <cfRule type="expression" dxfId="12" priority="29">
      <formula>C$132="Manual Entry"</formula>
    </cfRule>
  </conditionalFormatting>
  <conditionalFormatting sqref="C131">
    <cfRule type="expression" dxfId="11" priority="28">
      <formula>C$132="Manual Entry"</formula>
    </cfRule>
  </conditionalFormatting>
  <conditionalFormatting sqref="D241:O241 D241:D244 E242:O244">
    <cfRule type="expression" dxfId="10" priority="14">
      <formula>C243="Manual Entry"</formula>
    </cfRule>
  </conditionalFormatting>
  <conditionalFormatting sqref="P241:P242">
    <cfRule type="expression" dxfId="9" priority="13">
      <formula>O243="Manual Entry"</formula>
    </cfRule>
  </conditionalFormatting>
  <conditionalFormatting sqref="P243:P244">
    <cfRule type="expression" dxfId="8" priority="12">
      <formula>O245="Manual Entry"</formula>
    </cfRule>
  </conditionalFormatting>
  <conditionalFormatting sqref="D258:O260 D253:O256">
    <cfRule type="expression" dxfId="7" priority="11">
      <formula>C255="Manual Entry"</formula>
    </cfRule>
  </conditionalFormatting>
  <conditionalFormatting sqref="P253:P254">
    <cfRule type="expression" dxfId="6" priority="10">
      <formula>O255="Manual Entry"</formula>
    </cfRule>
  </conditionalFormatting>
  <conditionalFormatting sqref="P255:P256 P258:P260">
    <cfRule type="expression" dxfId="5" priority="9">
      <formula>O257="Manual Entry"</formula>
    </cfRule>
  </conditionalFormatting>
  <conditionalFormatting sqref="D270:O272 D265:O268">
    <cfRule type="expression" dxfId="4" priority="8">
      <formula>C267="Manual Entry"</formula>
    </cfRule>
  </conditionalFormatting>
  <conditionalFormatting sqref="P265:P266">
    <cfRule type="expression" dxfId="3" priority="7">
      <formula>O267="Manual Entry"</formula>
    </cfRule>
  </conditionalFormatting>
  <conditionalFormatting sqref="P267:P268 P270:P272">
    <cfRule type="expression" dxfId="2" priority="6">
      <formula>O269="Manual Entry"</formula>
    </cfRule>
  </conditionalFormatting>
  <conditionalFormatting sqref="D34">
    <cfRule type="expression" dxfId="1" priority="160">
      <formula>#REF!="Manual Entry"</formula>
    </cfRule>
  </conditionalFormatting>
  <conditionalFormatting sqref="D89">
    <cfRule type="expression" dxfId="0" priority="1">
      <formula>C$91="Manual Entry"</formula>
    </cfRule>
  </conditionalFormatting>
  <dataValidations count="4">
    <dataValidation type="list" allowBlank="1" showInputMessage="1" showErrorMessage="1" sqref="C27 C99 C86 C31 C52 C77 C40 C92 C71 C47">
      <formula1>$AF$4:$AF$5</formula1>
    </dataValidation>
    <dataValidation type="list" allowBlank="1" showInputMessage="1" showErrorMessage="1" sqref="C46 C121 C130 C133:C134 C82:C85 C68:C70 C50:C51 C25:C26 C54:C57 C104 C30 C98 C37:C39 C73:C76 C34 C88:C91">
      <formula1>$AJ$4:$AJ$6</formula1>
    </dataValidation>
    <dataValidation type="list" allowBlank="1" showInputMessage="1" showErrorMessage="1" sqref="C117">
      <formula1>$AN$4:$AN$6</formula1>
    </dataValidation>
    <dataValidation type="list" allowBlank="1" showInputMessage="1" showErrorMessage="1" sqref="C106 C132">
      <formula1>$AQ$4:$AQ$5</formula1>
    </dataValidation>
  </dataValidations>
  <pageMargins left="0.5" right="0.5" top="0.35" bottom="0.4" header="0.35" footer="0.4"/>
  <pageSetup scale="47" fitToHeight="0" orientation="landscape" r:id="rId3"/>
  <headerFooter alignWithMargins="0">
    <oddFooter>&amp;LApril 2014&amp;C&amp;A&amp;RPage &amp;P of &amp;N</oddFooter>
  </headerFooter>
  <rowBreaks count="4" manualBreakCount="4">
    <brk id="35" max="18" man="1"/>
    <brk id="79" max="18" man="1"/>
    <brk id="127" max="18" man="1"/>
    <brk id="178" max="18" man="1"/>
  </rowBreaks>
  <drawing r:id="rId4"/>
  <legacyDrawing r:id="rId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Z145"/>
  <sheetViews>
    <sheetView showGridLines="0" topLeftCell="A55" zoomScale="55" zoomScaleNormal="55" zoomScaleSheetLayoutView="80" zoomScalePageLayoutView="60" workbookViewId="0">
      <selection activeCell="A145" sqref="A1:XFD145"/>
    </sheetView>
  </sheetViews>
  <sheetFormatPr defaultRowHeight="12.75" x14ac:dyDescent="0.2"/>
  <cols>
    <col min="1" max="1" width="5.7109375" style="719" customWidth="1"/>
    <col min="2" max="2" width="52.42578125" style="719" customWidth="1"/>
    <col min="3" max="3" width="29.28515625" style="719" customWidth="1"/>
    <col min="4" max="4" width="15" style="719" customWidth="1"/>
    <col min="5" max="5" width="6.42578125" style="719" customWidth="1"/>
    <col min="6" max="6" width="9.28515625" style="719" customWidth="1"/>
    <col min="7" max="7" width="34.5703125" style="719" customWidth="1"/>
    <col min="8" max="8" width="15.42578125" style="719" bestFit="1" customWidth="1"/>
    <col min="9" max="9" width="8.140625" style="719" customWidth="1"/>
    <col min="10" max="10" width="7.5703125" style="719" customWidth="1"/>
    <col min="11" max="11" width="15.7109375" style="719" customWidth="1"/>
    <col min="12" max="12" width="19" hidden="1" customWidth="1"/>
    <col min="13" max="14" width="14.5703125" hidden="1" customWidth="1"/>
    <col min="15" max="15" width="7.85546875" hidden="1" customWidth="1"/>
    <col min="16" max="16" width="9.140625" hidden="1" customWidth="1"/>
    <col min="17" max="17" width="17.85546875" customWidth="1"/>
    <col min="18" max="18" width="19.140625" customWidth="1"/>
  </cols>
  <sheetData>
    <row r="1" spans="1:26" s="52" customFormat="1" ht="26.25" x14ac:dyDescent="0.4">
      <c r="A1" s="905" t="s">
        <v>37</v>
      </c>
      <c r="B1" s="891"/>
      <c r="C1" s="892"/>
      <c r="D1" s="892"/>
      <c r="E1" s="892"/>
      <c r="F1" s="892"/>
      <c r="G1" s="892"/>
      <c r="H1" s="892"/>
      <c r="I1" s="892"/>
      <c r="J1" s="891"/>
      <c r="K1" s="891"/>
      <c r="L1" s="36"/>
      <c r="M1" s="36"/>
      <c r="N1" s="36"/>
      <c r="O1" s="36"/>
    </row>
    <row r="2" spans="1:26" s="206" customFormat="1" ht="23.25" x14ac:dyDescent="0.35">
      <c r="A2" s="906" t="s">
        <v>296</v>
      </c>
      <c r="B2" s="1232"/>
      <c r="C2" s="1094"/>
      <c r="D2" s="1094"/>
      <c r="E2" s="1094"/>
      <c r="F2" s="1094"/>
      <c r="G2" s="1094"/>
      <c r="H2" s="1094"/>
      <c r="I2" s="1094"/>
      <c r="J2" s="1232"/>
      <c r="K2" s="1232"/>
      <c r="L2" s="22"/>
      <c r="M2" s="22"/>
      <c r="N2" s="22"/>
      <c r="O2" s="22"/>
    </row>
    <row r="3" spans="1:26" s="206" customFormat="1" ht="12.75" customHeight="1" x14ac:dyDescent="0.35">
      <c r="A3" s="207"/>
      <c r="B3" s="1260"/>
      <c r="J3" s="66"/>
      <c r="K3" s="66"/>
    </row>
    <row r="4" spans="1:26" s="206" customFormat="1" ht="15" customHeight="1" x14ac:dyDescent="0.35">
      <c r="A4" s="207"/>
      <c r="B4" s="1260" t="s">
        <v>42</v>
      </c>
      <c r="C4" s="112" t="str">
        <f>'1. Building Information'!C25:D25</f>
        <v>J.D. Smith</v>
      </c>
      <c r="D4" s="205"/>
      <c r="E4" s="205"/>
      <c r="F4" s="205"/>
      <c r="G4" s="159" t="s">
        <v>782</v>
      </c>
      <c r="H4" s="722">
        <f>'1. Building Information'!C23</f>
        <v>42736</v>
      </c>
      <c r="I4" s="205"/>
      <c r="J4" s="205"/>
      <c r="K4" s="205"/>
      <c r="L4" s="205"/>
      <c r="M4" s="205"/>
      <c r="N4" s="205"/>
      <c r="O4" s="205"/>
      <c r="P4" s="205"/>
      <c r="Q4" s="205"/>
      <c r="R4" s="205"/>
      <c r="S4" s="205"/>
      <c r="T4" s="209"/>
      <c r="U4" s="209"/>
      <c r="V4" s="209"/>
      <c r="W4" s="209"/>
      <c r="X4" s="209"/>
      <c r="Y4" s="209"/>
      <c r="Z4" s="209"/>
    </row>
    <row r="5" spans="1:26" s="206" customFormat="1" ht="15" customHeight="1" x14ac:dyDescent="0.35">
      <c r="A5" s="207"/>
      <c r="B5" s="1260"/>
      <c r="C5" s="112" t="str">
        <f>'1. Building Information'!C26:D26</f>
        <v>555-555-5555</v>
      </c>
      <c r="D5" s="205"/>
      <c r="E5" s="205"/>
      <c r="F5" s="205"/>
      <c r="G5" s="205"/>
      <c r="H5" s="205"/>
      <c r="I5" s="205"/>
      <c r="J5" s="205"/>
      <c r="K5" s="205"/>
      <c r="L5" s="205"/>
      <c r="M5" s="205"/>
      <c r="N5" s="205"/>
      <c r="O5" s="205"/>
      <c r="P5" s="205"/>
      <c r="Q5" s="205"/>
      <c r="R5" s="205"/>
      <c r="S5" s="205"/>
      <c r="T5" s="209"/>
      <c r="U5" s="209"/>
      <c r="V5" s="209"/>
      <c r="W5" s="209"/>
      <c r="X5" s="209"/>
      <c r="Y5" s="209"/>
      <c r="Z5" s="209"/>
    </row>
    <row r="6" spans="1:26" s="206" customFormat="1" ht="15" customHeight="1" x14ac:dyDescent="0.35">
      <c r="A6" s="207"/>
      <c r="B6" s="1260"/>
      <c r="C6" s="112" t="str">
        <f>'1. Building Information'!C27:D27</f>
        <v>info@developer.com</v>
      </c>
      <c r="D6" s="205"/>
      <c r="E6" s="205"/>
      <c r="F6" s="205"/>
      <c r="G6" s="205"/>
      <c r="H6" s="205"/>
      <c r="I6" s="205"/>
      <c r="J6" s="205"/>
      <c r="K6" s="205"/>
      <c r="L6" s="205"/>
      <c r="M6" s="205"/>
      <c r="N6" s="205"/>
      <c r="O6" s="205"/>
      <c r="P6" s="205"/>
      <c r="Q6" s="205"/>
      <c r="R6" s="205"/>
      <c r="S6" s="205"/>
      <c r="T6" s="209"/>
      <c r="U6" s="209"/>
      <c r="V6" s="209"/>
      <c r="W6" s="209"/>
      <c r="X6" s="209"/>
      <c r="Y6" s="209"/>
      <c r="Z6" s="209"/>
    </row>
    <row r="7" spans="1:26" s="206" customFormat="1" ht="7.5" customHeight="1" x14ac:dyDescent="0.35">
      <c r="A7" s="207"/>
      <c r="B7" s="1260"/>
      <c r="C7" s="112"/>
      <c r="D7" s="205"/>
      <c r="E7" s="205"/>
      <c r="F7" s="205"/>
      <c r="G7" s="205"/>
      <c r="H7" s="205"/>
      <c r="I7" s="205"/>
      <c r="J7" s="205"/>
      <c r="K7" s="205"/>
      <c r="L7" s="205"/>
      <c r="M7" s="205"/>
      <c r="N7" s="205"/>
      <c r="O7" s="205"/>
      <c r="P7" s="205"/>
      <c r="Q7" s="205"/>
      <c r="R7" s="205"/>
      <c r="S7" s="205"/>
      <c r="T7" s="209"/>
      <c r="U7" s="209"/>
      <c r="V7" s="209"/>
      <c r="W7" s="209"/>
      <c r="X7" s="209"/>
      <c r="Y7" s="209"/>
      <c r="Z7" s="209"/>
    </row>
    <row r="8" spans="1:26" s="206" customFormat="1" ht="18.75" customHeight="1" x14ac:dyDescent="0.35">
      <c r="A8" s="1233" t="s">
        <v>500</v>
      </c>
      <c r="B8" s="1234"/>
      <c r="C8" s="1235"/>
      <c r="D8" s="1236"/>
      <c r="E8" s="1236"/>
      <c r="F8" s="1236"/>
      <c r="G8" s="1236"/>
      <c r="H8" s="1236"/>
      <c r="I8" s="1236"/>
      <c r="J8" s="1236"/>
      <c r="K8" s="1236"/>
      <c r="L8" s="205"/>
      <c r="M8" s="205"/>
      <c r="N8" s="205"/>
      <c r="O8" s="205"/>
      <c r="P8" s="205"/>
      <c r="Q8" s="205"/>
      <c r="R8" s="205"/>
      <c r="S8" s="205"/>
      <c r="T8" s="209"/>
      <c r="U8" s="209"/>
      <c r="V8" s="209"/>
      <c r="W8" s="209"/>
      <c r="X8" s="209"/>
      <c r="Y8" s="209"/>
      <c r="Z8" s="209"/>
    </row>
    <row r="9" spans="1:26" s="206" customFormat="1" ht="21" customHeight="1" x14ac:dyDescent="0.35">
      <c r="A9" s="200"/>
      <c r="B9" s="210" t="s">
        <v>729</v>
      </c>
      <c r="C9" s="114" t="str">
        <f>IF(D11&gt;=2000000,"Meets grant criteria of offsetting a minimum of 2,000,000 gal/yr of potable water use","Does not meet grant criteria of offsetting 2,000,000 gal/yr of potable water use")</f>
        <v>Does not meet grant criteria of offsetting 2,000,000 gal/yr of potable water use</v>
      </c>
      <c r="D9" s="114"/>
      <c r="E9" s="205"/>
      <c r="F9" s="205"/>
      <c r="G9" s="205"/>
      <c r="H9" s="205"/>
      <c r="I9" s="205"/>
      <c r="J9" s="205"/>
      <c r="K9" s="205"/>
      <c r="L9" s="205"/>
      <c r="M9" s="205"/>
      <c r="N9" s="205"/>
      <c r="O9" s="205"/>
      <c r="P9" s="205"/>
      <c r="Q9" s="205"/>
      <c r="R9" s="205"/>
      <c r="S9" s="205"/>
      <c r="T9" s="209"/>
      <c r="U9" s="209"/>
      <c r="V9" s="209"/>
      <c r="W9" s="209"/>
      <c r="X9" s="209"/>
      <c r="Y9" s="209"/>
      <c r="Z9" s="209"/>
    </row>
    <row r="10" spans="1:26" s="206" customFormat="1" ht="21" customHeight="1" x14ac:dyDescent="0.35">
      <c r="A10" s="200"/>
      <c r="B10" s="210"/>
      <c r="D10" s="114"/>
      <c r="E10" s="205"/>
      <c r="F10" s="205"/>
      <c r="G10" s="205"/>
      <c r="H10" s="205"/>
      <c r="I10" s="205"/>
      <c r="J10" s="205"/>
      <c r="K10" s="205"/>
      <c r="L10" s="205"/>
      <c r="M10" s="205"/>
      <c r="N10" s="205"/>
      <c r="O10" s="205"/>
      <c r="P10" s="205"/>
      <c r="Q10" s="205"/>
      <c r="R10" s="205"/>
      <c r="S10" s="205"/>
      <c r="T10" s="209"/>
      <c r="U10" s="209"/>
      <c r="V10" s="209"/>
      <c r="W10" s="209"/>
      <c r="X10" s="209"/>
      <c r="Y10" s="209"/>
      <c r="Z10" s="209"/>
    </row>
    <row r="11" spans="1:26" s="206" customFormat="1" ht="20.25" customHeight="1" x14ac:dyDescent="0.35">
      <c r="A11" s="875"/>
      <c r="C11" s="210" t="s">
        <v>501</v>
      </c>
      <c r="D11" s="125">
        <f>'7. Project Definition'!C146</f>
        <v>0</v>
      </c>
      <c r="E11" s="200"/>
      <c r="F11" s="204"/>
      <c r="G11" s="204"/>
      <c r="H11" s="204"/>
      <c r="I11" s="204"/>
      <c r="J11" s="204"/>
      <c r="K11" s="204"/>
      <c r="L11" s="205"/>
      <c r="M11" s="205"/>
      <c r="N11" s="205"/>
      <c r="O11" s="205"/>
      <c r="P11" s="205"/>
      <c r="Q11" s="205"/>
      <c r="R11" s="205"/>
      <c r="S11" s="205"/>
      <c r="T11" s="209"/>
      <c r="U11" s="209"/>
      <c r="V11" s="209"/>
      <c r="W11" s="209"/>
      <c r="X11" s="209"/>
      <c r="Y11" s="209"/>
      <c r="Z11" s="209"/>
    </row>
    <row r="12" spans="1:26" s="206" customFormat="1" ht="23.25" x14ac:dyDescent="0.35">
      <c r="A12" s="875"/>
      <c r="C12" s="210" t="s">
        <v>687</v>
      </c>
      <c r="D12" s="179">
        <f>'7. Project Definition'!C148</f>
        <v>0</v>
      </c>
      <c r="E12" s="200"/>
      <c r="F12" s="204"/>
      <c r="G12" s="204"/>
      <c r="H12" s="204"/>
      <c r="I12" s="204"/>
      <c r="J12" s="204"/>
      <c r="K12" s="204"/>
      <c r="L12" s="205"/>
      <c r="M12" s="205"/>
      <c r="N12" s="205"/>
      <c r="O12" s="205"/>
      <c r="P12" s="205"/>
      <c r="Q12" s="205"/>
      <c r="R12" s="205"/>
      <c r="S12" s="205"/>
      <c r="T12" s="209"/>
      <c r="U12" s="209"/>
      <c r="V12" s="209"/>
      <c r="W12" s="209"/>
      <c r="X12" s="209"/>
      <c r="Y12" s="209"/>
      <c r="Z12" s="209"/>
    </row>
    <row r="13" spans="1:26" s="206" customFormat="1" ht="31.5" customHeight="1" x14ac:dyDescent="0.35">
      <c r="A13" s="875"/>
      <c r="C13" s="210" t="s">
        <v>688</v>
      </c>
      <c r="D13" s="126">
        <f>'6. Building Potential Summary'!C48</f>
        <v>0</v>
      </c>
      <c r="E13" s="878" t="str">
        <f>IF('7. Project Definition'!F167&gt;'7. Project Definition'!F168,"Selected non-potable demands exceed  potential non-potable demands calculated in Tab 6 - Building Potential Summary","")</f>
        <v/>
      </c>
      <c r="F13" s="876"/>
      <c r="G13" s="876"/>
      <c r="H13" s="876"/>
      <c r="I13" s="876"/>
      <c r="J13" s="876"/>
      <c r="K13" s="876"/>
      <c r="L13" s="205"/>
      <c r="M13" s="205"/>
      <c r="N13" s="205"/>
      <c r="O13" s="205"/>
      <c r="P13" s="205"/>
      <c r="Q13" s="205"/>
      <c r="R13" s="205"/>
      <c r="S13" s="205"/>
      <c r="T13" s="209"/>
      <c r="U13" s="209"/>
      <c r="V13" s="209"/>
      <c r="W13" s="209"/>
      <c r="X13" s="209"/>
      <c r="Y13" s="209"/>
      <c r="Z13" s="209"/>
    </row>
    <row r="14" spans="1:26" s="206" customFormat="1" ht="30" customHeight="1" x14ac:dyDescent="0.35">
      <c r="A14" s="875"/>
      <c r="C14" s="811" t="s">
        <v>787</v>
      </c>
      <c r="D14" s="190">
        <f>SUM('6. Building Potential Summary'!C52,'6. Building Potential Summary'!C54)</f>
        <v>0</v>
      </c>
      <c r="E14" s="877"/>
      <c r="F14" s="877"/>
      <c r="G14" s="877"/>
      <c r="H14" s="877"/>
      <c r="I14" s="877"/>
      <c r="J14" s="877"/>
      <c r="K14" s="877"/>
      <c r="L14" s="205"/>
      <c r="M14" s="205"/>
      <c r="N14" s="205"/>
      <c r="O14" s="205"/>
      <c r="P14" s="205"/>
      <c r="Q14" s="205"/>
      <c r="R14" s="205"/>
      <c r="S14" s="205"/>
      <c r="T14" s="209"/>
      <c r="U14" s="209"/>
      <c r="V14" s="209"/>
      <c r="W14" s="209"/>
      <c r="X14" s="209"/>
      <c r="Y14" s="209"/>
      <c r="Z14" s="209"/>
    </row>
    <row r="15" spans="1:26" s="206" customFormat="1" ht="15" customHeight="1" x14ac:dyDescent="0.35">
      <c r="A15" s="875"/>
      <c r="C15" s="811" t="s">
        <v>788</v>
      </c>
      <c r="D15" s="815" t="e">
        <f>IF(D11&gt;D14,1,D11/D14)</f>
        <v>#DIV/0!</v>
      </c>
      <c r="E15" s="200"/>
      <c r="F15" s="204"/>
      <c r="G15" s="204"/>
      <c r="H15" s="204"/>
      <c r="I15" s="204"/>
      <c r="J15" s="204"/>
      <c r="K15" s="204"/>
      <c r="L15" s="205"/>
      <c r="M15" s="205"/>
      <c r="N15" s="205"/>
      <c r="O15" s="205"/>
      <c r="P15" s="205"/>
      <c r="Q15" s="205"/>
      <c r="R15" s="205"/>
      <c r="S15" s="205"/>
      <c r="T15" s="209"/>
      <c r="U15" s="209"/>
      <c r="V15" s="209"/>
      <c r="W15" s="209"/>
      <c r="X15" s="209"/>
      <c r="Y15" s="209"/>
      <c r="Z15" s="209"/>
    </row>
    <row r="16" spans="1:26" s="206" customFormat="1" ht="44.25" customHeight="1" x14ac:dyDescent="0.35">
      <c r="A16" s="875"/>
      <c r="B16" s="1830" t="s">
        <v>741</v>
      </c>
      <c r="C16" s="1830"/>
      <c r="D16" s="1830"/>
      <c r="E16" s="1830"/>
      <c r="F16" s="1830"/>
      <c r="G16" s="1830"/>
      <c r="H16" s="1830"/>
      <c r="I16" s="1830"/>
      <c r="J16" s="1830"/>
      <c r="K16" s="1830"/>
      <c r="L16" s="205"/>
      <c r="M16" s="205"/>
      <c r="N16" s="205"/>
      <c r="O16" s="205"/>
      <c r="P16" s="205"/>
      <c r="Q16" s="205"/>
      <c r="R16" s="205"/>
      <c r="S16" s="205"/>
      <c r="T16" s="209"/>
      <c r="U16" s="209"/>
      <c r="V16" s="209"/>
      <c r="W16" s="209"/>
      <c r="X16" s="209"/>
      <c r="Y16" s="209"/>
      <c r="Z16" s="209"/>
    </row>
    <row r="17" spans="1:26" s="206" customFormat="1" ht="5.25" customHeight="1" x14ac:dyDescent="0.35">
      <c r="A17" s="207"/>
      <c r="B17" s="758"/>
      <c r="C17" s="758"/>
      <c r="D17" s="114"/>
      <c r="E17" s="758"/>
      <c r="F17" s="758"/>
      <c r="G17" s="758"/>
      <c r="H17" s="758"/>
      <c r="I17" s="758"/>
      <c r="J17" s="758"/>
      <c r="K17" s="758"/>
      <c r="L17" s="205"/>
      <c r="M17" s="205"/>
      <c r="N17" s="205"/>
      <c r="O17" s="205"/>
      <c r="P17" s="205"/>
      <c r="Q17" s="205"/>
      <c r="R17" s="205"/>
      <c r="S17" s="205"/>
      <c r="T17" s="209"/>
      <c r="U17" s="209"/>
      <c r="V17" s="209"/>
      <c r="W17" s="209"/>
      <c r="X17" s="209"/>
      <c r="Y17" s="209"/>
      <c r="Z17" s="209"/>
    </row>
    <row r="18" spans="1:26" s="206" customFormat="1" ht="19.5" customHeight="1" x14ac:dyDescent="0.35">
      <c r="A18" s="1237" t="s">
        <v>351</v>
      </c>
      <c r="B18" s="1234"/>
      <c r="C18" s="1236"/>
      <c r="D18" s="1236"/>
      <c r="E18" s="1236"/>
      <c r="F18" s="1236"/>
      <c r="G18" s="1094"/>
      <c r="H18" s="1094"/>
      <c r="I18" s="1094"/>
      <c r="J18" s="1094"/>
      <c r="K18" s="1236"/>
      <c r="L18" s="205"/>
      <c r="M18" s="205"/>
      <c r="N18" s="205"/>
      <c r="O18" s="205"/>
      <c r="P18" s="205"/>
      <c r="Q18" s="205"/>
      <c r="R18" s="205"/>
      <c r="S18" s="205"/>
      <c r="T18" s="209"/>
      <c r="U18" s="209"/>
      <c r="V18" s="209"/>
      <c r="W18" s="209"/>
      <c r="X18" s="209"/>
      <c r="Y18" s="209"/>
      <c r="Z18" s="209"/>
    </row>
    <row r="19" spans="1:26" s="206" customFormat="1" ht="6" customHeight="1" x14ac:dyDescent="0.35">
      <c r="A19" s="207"/>
      <c r="B19" s="719"/>
      <c r="C19" s="203"/>
      <c r="D19" s="204"/>
      <c r="E19" s="204"/>
      <c r="F19" s="197"/>
      <c r="G19" s="200"/>
      <c r="H19" s="200"/>
      <c r="I19" s="200"/>
      <c r="J19" s="200"/>
      <c r="K19" s="198"/>
      <c r="N19" s="204"/>
      <c r="O19" s="205"/>
      <c r="P19" s="205"/>
      <c r="Q19" s="205"/>
      <c r="R19" s="205"/>
      <c r="S19" s="205"/>
      <c r="T19" s="209"/>
      <c r="U19" s="209"/>
      <c r="V19" s="209"/>
      <c r="W19" s="209"/>
      <c r="X19" s="209"/>
      <c r="Y19" s="209"/>
      <c r="Z19" s="209"/>
    </row>
    <row r="20" spans="1:26" s="206" customFormat="1" ht="23.25" x14ac:dyDescent="0.35">
      <c r="A20" s="719"/>
      <c r="B20" s="1260" t="s">
        <v>477</v>
      </c>
      <c r="C20" s="215" t="str">
        <f>IF('1. Building Information'!C14:D14="","",'1. Building Information'!C14:D14)</f>
        <v>Project Name</v>
      </c>
      <c r="D20" s="216"/>
      <c r="E20" s="217"/>
      <c r="F20" s="196"/>
      <c r="G20" s="1260" t="s">
        <v>299</v>
      </c>
      <c r="H20" s="880" t="str">
        <f>IF('1. Building Information'!K35="","",'1. Building Information'!K35)</f>
        <v/>
      </c>
      <c r="I20" s="112"/>
      <c r="J20" s="112"/>
      <c r="K20" s="204"/>
      <c r="N20" s="205"/>
      <c r="O20" s="205"/>
      <c r="P20" s="205"/>
      <c r="Q20" s="205"/>
      <c r="R20" s="205"/>
      <c r="S20" s="205"/>
      <c r="T20" s="209"/>
      <c r="U20" s="209"/>
      <c r="V20" s="209"/>
      <c r="W20" s="209"/>
      <c r="X20" s="209"/>
      <c r="Y20" s="209"/>
      <c r="Z20" s="209"/>
    </row>
    <row r="21" spans="1:26" s="206" customFormat="1" ht="15" customHeight="1" x14ac:dyDescent="0.35">
      <c r="A21" s="719"/>
      <c r="B21" s="1260" t="s">
        <v>297</v>
      </c>
      <c r="C21" s="129" t="str">
        <f>IF('1. Building Information'!C16:D16="","",'1. Building Information'!C16:D16)</f>
        <v>Project Address</v>
      </c>
      <c r="D21" s="130"/>
      <c r="E21" s="131"/>
      <c r="F21" s="195"/>
      <c r="G21" s="1263" t="s">
        <v>475</v>
      </c>
      <c r="H21" s="191" t="str">
        <f>IF('1. Building Information'!I35="","",'1. Building Information'!I35)</f>
        <v/>
      </c>
      <c r="I21" s="112"/>
      <c r="J21" s="112"/>
      <c r="K21" s="204"/>
      <c r="N21" s="205"/>
      <c r="O21" s="205"/>
      <c r="P21" s="205"/>
      <c r="Q21" s="205"/>
      <c r="R21" s="205"/>
      <c r="S21" s="205"/>
      <c r="T21" s="209"/>
      <c r="U21" s="209"/>
      <c r="V21" s="209"/>
      <c r="W21" s="209"/>
      <c r="X21" s="209"/>
      <c r="Y21" s="209"/>
      <c r="Z21" s="209"/>
    </row>
    <row r="22" spans="1:26" s="206" customFormat="1" ht="21" customHeight="1" x14ac:dyDescent="0.35">
      <c r="A22" s="719"/>
      <c r="B22" s="11"/>
      <c r="C22" s="115" t="str">
        <f>IF('1. Building Information'!C17:D17="","",'1. Building Information'!C17:D17)</f>
        <v/>
      </c>
      <c r="D22" s="112"/>
      <c r="E22" s="132"/>
      <c r="F22" s="16"/>
      <c r="G22" s="1260" t="s">
        <v>305</v>
      </c>
      <c r="H22" s="191" t="str">
        <f>IF('1. Building Information'!G35="","",'1. Building Information'!G35)</f>
        <v/>
      </c>
      <c r="I22" s="112"/>
      <c r="J22" s="112"/>
      <c r="K22" s="204"/>
      <c r="N22" s="205"/>
      <c r="O22" s="205"/>
      <c r="P22" s="205"/>
      <c r="Q22" s="205"/>
      <c r="R22" s="205"/>
      <c r="S22" s="205"/>
      <c r="T22" s="209"/>
      <c r="U22" s="209"/>
      <c r="V22" s="209"/>
      <c r="W22" s="209"/>
      <c r="X22" s="209"/>
      <c r="Y22" s="209"/>
      <c r="Z22" s="209"/>
    </row>
    <row r="23" spans="1:26" s="206" customFormat="1" ht="18" customHeight="1" x14ac:dyDescent="0.35">
      <c r="A23" s="719"/>
      <c r="B23" s="11"/>
      <c r="C23" s="115" t="str">
        <f>IF('1. Building Information'!C18:D18="","",'1. Building Information'!C18:D18)</f>
        <v/>
      </c>
      <c r="D23" s="133"/>
      <c r="E23" s="134"/>
      <c r="F23" s="16"/>
      <c r="G23" s="1260" t="s">
        <v>301</v>
      </c>
      <c r="H23" s="191" t="str">
        <f>IF('1. Building Information'!C90="","",'1. Building Information'!C90)</f>
        <v/>
      </c>
      <c r="I23" s="112"/>
      <c r="J23" s="112"/>
      <c r="K23" s="204"/>
      <c r="N23" s="205"/>
      <c r="O23" s="205"/>
      <c r="P23" s="205"/>
      <c r="Q23" s="205"/>
      <c r="R23" s="205"/>
      <c r="S23" s="205"/>
      <c r="T23" s="209"/>
      <c r="U23" s="209"/>
      <c r="V23" s="209"/>
      <c r="W23" s="209"/>
      <c r="X23" s="209"/>
      <c r="Y23" s="209"/>
      <c r="Z23" s="209"/>
    </row>
    <row r="24" spans="1:26" s="206" customFormat="1" ht="18" customHeight="1" x14ac:dyDescent="0.35">
      <c r="A24" s="719"/>
      <c r="B24" s="1260" t="s">
        <v>298</v>
      </c>
      <c r="C24" s="214" t="str">
        <f>IF('1. Building Information'!C20:D20="","NO APN INFORMATION",'1. Building Information'!C20:D20)</f>
        <v>BBL</v>
      </c>
      <c r="D24" s="219"/>
      <c r="E24" s="220"/>
      <c r="F24" s="16"/>
      <c r="G24" s="1260" t="s">
        <v>520</v>
      </c>
      <c r="H24" s="191">
        <f>'5. Outdoor Non-Potable Supply'!C20</f>
        <v>0</v>
      </c>
      <c r="I24" s="112"/>
      <c r="J24" s="112"/>
      <c r="K24" s="204"/>
      <c r="N24" s="205"/>
      <c r="O24" s="205"/>
      <c r="P24" s="205"/>
      <c r="Q24" s="205"/>
      <c r="R24" s="205"/>
      <c r="S24" s="205"/>
      <c r="T24" s="209"/>
      <c r="U24" s="209"/>
      <c r="V24" s="209"/>
      <c r="W24" s="209"/>
      <c r="X24" s="209"/>
      <c r="Y24" s="209"/>
      <c r="Z24" s="209"/>
    </row>
    <row r="25" spans="1:26" s="206" customFormat="1" ht="18" customHeight="1" x14ac:dyDescent="0.35">
      <c r="A25" s="719"/>
      <c r="B25" s="210" t="s">
        <v>474</v>
      </c>
      <c r="C25" s="214">
        <f>IF(YEAR('1. Building Information'!C22)="","INFO MISSING",YEAR('1. Building Information'!C22))</f>
        <v>2016</v>
      </c>
      <c r="D25" s="219"/>
      <c r="E25" s="220"/>
      <c r="F25" s="16"/>
      <c r="G25" s="1260" t="s">
        <v>521</v>
      </c>
      <c r="H25" s="191">
        <f>'4. Outdoor Water Demand'!C35</f>
        <v>0</v>
      </c>
      <c r="I25" s="112"/>
      <c r="J25" s="112"/>
      <c r="K25" s="204"/>
      <c r="N25" s="205"/>
      <c r="O25" s="205"/>
      <c r="P25" s="205"/>
      <c r="Q25" s="205"/>
      <c r="R25" s="205"/>
      <c r="S25" s="205"/>
      <c r="T25" s="209"/>
      <c r="U25" s="209"/>
      <c r="V25" s="209"/>
      <c r="W25" s="209"/>
      <c r="X25" s="209"/>
      <c r="Y25" s="209"/>
      <c r="Z25" s="209"/>
    </row>
    <row r="26" spans="1:26" s="206" customFormat="1" ht="16.5" customHeight="1" x14ac:dyDescent="0.35">
      <c r="A26" s="207"/>
      <c r="B26" s="205"/>
      <c r="C26" s="112"/>
      <c r="D26" s="112"/>
      <c r="E26" s="112"/>
      <c r="F26" s="16"/>
      <c r="K26" s="204"/>
      <c r="N26" s="205"/>
      <c r="O26" s="205"/>
      <c r="P26" s="205"/>
      <c r="Q26" s="205"/>
      <c r="R26" s="205"/>
      <c r="S26" s="205"/>
      <c r="T26" s="209"/>
      <c r="U26" s="209"/>
      <c r="V26" s="209"/>
      <c r="W26" s="209"/>
      <c r="X26" s="209"/>
      <c r="Y26" s="209"/>
      <c r="Z26" s="209"/>
    </row>
    <row r="27" spans="1:26" s="206" customFormat="1" ht="14.25" customHeight="1" x14ac:dyDescent="0.35">
      <c r="A27" s="207"/>
      <c r="F27" s="195"/>
      <c r="G27" s="16"/>
      <c r="H27" s="16"/>
      <c r="I27" s="195"/>
      <c r="J27" s="204"/>
      <c r="K27" s="204"/>
      <c r="N27" s="205"/>
      <c r="O27" s="205"/>
      <c r="P27" s="205"/>
      <c r="Q27" s="205"/>
      <c r="R27" s="205"/>
      <c r="S27" s="205"/>
      <c r="T27" s="209"/>
      <c r="U27" s="209"/>
      <c r="V27" s="209"/>
      <c r="W27" s="209"/>
      <c r="X27" s="209"/>
      <c r="Y27" s="209"/>
      <c r="Z27" s="209"/>
    </row>
    <row r="28" spans="1:26" s="206" customFormat="1" ht="23.25" x14ac:dyDescent="0.35">
      <c r="A28" s="1238" t="s">
        <v>726</v>
      </c>
      <c r="B28" s="1238"/>
      <c r="C28" s="1239"/>
      <c r="D28" s="1240"/>
      <c r="E28" s="1236"/>
      <c r="F28" s="1236"/>
      <c r="G28" s="1236"/>
      <c r="H28" s="1236"/>
      <c r="I28" s="1236"/>
      <c r="J28" s="1236"/>
      <c r="K28" s="1236"/>
      <c r="N28" s="205"/>
      <c r="O28" s="205"/>
      <c r="P28" s="205"/>
      <c r="Q28" s="205"/>
      <c r="R28" s="205"/>
      <c r="S28" s="205"/>
      <c r="T28" s="209"/>
      <c r="U28" s="209"/>
      <c r="V28" s="209"/>
      <c r="W28" s="209"/>
      <c r="X28" s="209"/>
      <c r="Y28" s="209"/>
      <c r="Z28" s="209"/>
    </row>
    <row r="29" spans="1:26" s="206" customFormat="1" ht="15" customHeight="1" x14ac:dyDescent="0.35">
      <c r="A29" s="207"/>
      <c r="B29" s="114" t="s">
        <v>727</v>
      </c>
      <c r="C29" s="205"/>
      <c r="D29" s="205"/>
      <c r="E29" s="205"/>
      <c r="F29" s="205"/>
      <c r="G29" s="114" t="s">
        <v>728</v>
      </c>
      <c r="H29" s="205"/>
      <c r="I29" s="205"/>
      <c r="J29" s="194"/>
      <c r="K29" s="205"/>
      <c r="N29" s="205"/>
      <c r="O29" s="205"/>
      <c r="P29" s="205"/>
      <c r="Q29" s="205"/>
      <c r="R29" s="205"/>
      <c r="S29" s="205"/>
      <c r="T29" s="209"/>
      <c r="U29" s="209"/>
      <c r="V29" s="209"/>
      <c r="W29" s="209"/>
      <c r="X29" s="209"/>
      <c r="Y29" s="209"/>
      <c r="Z29" s="209"/>
    </row>
    <row r="30" spans="1:26" s="206" customFormat="1" ht="28.5" customHeight="1" x14ac:dyDescent="0.35">
      <c r="A30" s="207"/>
      <c r="B30" s="1241" t="s">
        <v>308</v>
      </c>
      <c r="C30" s="1242" t="s">
        <v>309</v>
      </c>
      <c r="D30" s="1242"/>
      <c r="E30" s="1242"/>
      <c r="F30" s="194"/>
      <c r="G30" s="1243" t="s">
        <v>730</v>
      </c>
      <c r="H30" s="1242" t="s">
        <v>320</v>
      </c>
      <c r="I30" s="1242"/>
      <c r="J30" s="1242"/>
      <c r="K30" s="194"/>
      <c r="N30" s="205"/>
      <c r="O30" s="205"/>
      <c r="P30" s="205"/>
      <c r="Q30" s="205"/>
      <c r="R30" s="205"/>
      <c r="S30" s="205"/>
      <c r="T30" s="209"/>
      <c r="U30" s="209"/>
      <c r="V30" s="209"/>
      <c r="W30" s="209"/>
      <c r="X30" s="209"/>
      <c r="Y30" s="209"/>
      <c r="Z30" s="209"/>
    </row>
    <row r="31" spans="1:26" s="206" customFormat="1" ht="15" customHeight="1" x14ac:dyDescent="0.35">
      <c r="A31" s="207"/>
      <c r="B31" s="210" t="s">
        <v>310</v>
      </c>
      <c r="C31" s="135">
        <f>'7. Project Definition'!D133</f>
        <v>0</v>
      </c>
      <c r="D31" s="219"/>
      <c r="E31" s="220"/>
      <c r="F31" s="195"/>
      <c r="G31" s="210" t="s">
        <v>318</v>
      </c>
      <c r="H31" s="191">
        <f>SUM('7. Project Definition'!D28,'7. Project Definition'!D32)</f>
        <v>0</v>
      </c>
      <c r="I31" s="112"/>
      <c r="J31" s="112"/>
      <c r="K31" s="204"/>
      <c r="N31" s="205"/>
      <c r="O31" s="205"/>
      <c r="P31" s="205"/>
      <c r="Q31" s="205"/>
      <c r="R31" s="205"/>
      <c r="S31" s="205"/>
      <c r="T31" s="209"/>
      <c r="U31" s="209"/>
      <c r="V31" s="209"/>
      <c r="W31" s="209"/>
      <c r="X31" s="209"/>
      <c r="Y31" s="209"/>
      <c r="Z31" s="209"/>
    </row>
    <row r="32" spans="1:26" s="206" customFormat="1" ht="15" customHeight="1" x14ac:dyDescent="0.35">
      <c r="A32" s="207"/>
      <c r="B32" s="210" t="s">
        <v>312</v>
      </c>
      <c r="C32" s="135">
        <f>'7. Project Definition'!D118</f>
        <v>0</v>
      </c>
      <c r="D32" s="219"/>
      <c r="E32" s="220"/>
      <c r="F32" s="195"/>
      <c r="G32" s="113" t="s">
        <v>382</v>
      </c>
      <c r="H32" s="191">
        <f>'7. Project Definition'!D48</f>
        <v>0</v>
      </c>
      <c r="I32" s="112"/>
      <c r="J32" s="112"/>
      <c r="K32" s="204"/>
      <c r="N32" s="205"/>
      <c r="O32" s="205"/>
      <c r="P32" s="205"/>
      <c r="Q32" s="205"/>
      <c r="R32" s="205"/>
      <c r="S32" s="205"/>
      <c r="T32" s="209"/>
      <c r="U32" s="209"/>
      <c r="V32" s="209"/>
      <c r="W32" s="209"/>
      <c r="X32" s="209"/>
      <c r="Y32" s="209"/>
      <c r="Z32" s="209"/>
    </row>
    <row r="33" spans="1:26" s="206" customFormat="1" ht="15" customHeight="1" x14ac:dyDescent="0.35">
      <c r="A33" s="207"/>
      <c r="B33" s="210" t="s">
        <v>326</v>
      </c>
      <c r="C33" s="135">
        <f>'7. Project Definition'!D119</f>
        <v>0</v>
      </c>
      <c r="D33" s="219"/>
      <c r="E33" s="220"/>
      <c r="F33" s="195"/>
      <c r="G33" s="811" t="s">
        <v>791</v>
      </c>
      <c r="H33" s="816">
        <f>SUM(H31:H32)</f>
        <v>0</v>
      </c>
      <c r="I33" s="879"/>
      <c r="J33" s="879"/>
      <c r="K33" s="204"/>
      <c r="N33" s="205"/>
      <c r="O33" s="205"/>
      <c r="P33" s="205"/>
      <c r="Q33" s="205"/>
      <c r="R33" s="205"/>
      <c r="S33" s="205"/>
      <c r="T33" s="209"/>
      <c r="U33" s="209"/>
      <c r="V33" s="209"/>
      <c r="W33" s="209"/>
      <c r="X33" s="209"/>
      <c r="Y33" s="209"/>
      <c r="Z33" s="209"/>
    </row>
    <row r="34" spans="1:26" s="206" customFormat="1" ht="15" customHeight="1" thickBot="1" x14ac:dyDescent="0.4">
      <c r="A34" s="207"/>
      <c r="B34" s="210" t="s">
        <v>542</v>
      </c>
      <c r="C34" s="136">
        <f>'7. Project Definition'!D121</f>
        <v>0</v>
      </c>
      <c r="D34" s="137"/>
      <c r="E34" s="138"/>
      <c r="F34" s="195"/>
      <c r="G34" s="210" t="s">
        <v>319</v>
      </c>
      <c r="H34" s="191">
        <f>'7. Project Definition'!D35</f>
        <v>0</v>
      </c>
      <c r="I34" s="112"/>
      <c r="J34" s="112"/>
      <c r="K34" s="204"/>
      <c r="N34" s="205"/>
      <c r="O34" s="205"/>
      <c r="P34" s="205"/>
      <c r="Q34" s="205"/>
      <c r="R34" s="205"/>
      <c r="S34" s="205"/>
      <c r="T34" s="209"/>
      <c r="U34" s="209"/>
      <c r="V34" s="209"/>
      <c r="W34" s="209"/>
      <c r="X34" s="209"/>
      <c r="Y34" s="209"/>
      <c r="Z34" s="209"/>
    </row>
    <row r="35" spans="1:26" s="206" customFormat="1" ht="24" thickTop="1" x14ac:dyDescent="0.35">
      <c r="A35" s="207"/>
      <c r="B35" s="210" t="s">
        <v>719</v>
      </c>
      <c r="C35" s="139">
        <f>SUM(C31:C34)</f>
        <v>0</v>
      </c>
      <c r="D35" s="140"/>
      <c r="E35" s="141"/>
      <c r="F35" s="195"/>
      <c r="G35" s="210" t="s">
        <v>689</v>
      </c>
      <c r="H35" s="191">
        <f>SUM('7. Project Definition'!D41,'7. Project Definition'!D53)</f>
        <v>0</v>
      </c>
      <c r="I35" s="112"/>
      <c r="J35" s="112"/>
      <c r="K35" s="204"/>
      <c r="N35" s="205"/>
      <c r="O35" s="205"/>
      <c r="P35" s="205"/>
      <c r="Q35" s="205"/>
      <c r="R35" s="205"/>
      <c r="S35" s="205"/>
      <c r="T35" s="209"/>
      <c r="U35" s="209"/>
      <c r="V35" s="209"/>
      <c r="W35" s="209"/>
      <c r="X35" s="209"/>
      <c r="Y35" s="209"/>
      <c r="Z35" s="209"/>
    </row>
    <row r="36" spans="1:26" s="206" customFormat="1" ht="15" customHeight="1" x14ac:dyDescent="0.35">
      <c r="A36" s="207"/>
      <c r="F36" s="195"/>
      <c r="G36" s="210" t="s">
        <v>383</v>
      </c>
      <c r="H36" s="881">
        <f>SUM(H33:H35)</f>
        <v>0</v>
      </c>
      <c r="I36" s="814"/>
      <c r="J36" s="814"/>
      <c r="K36" s="204"/>
      <c r="N36" s="205"/>
      <c r="O36" s="205"/>
      <c r="P36" s="205"/>
      <c r="Q36" s="205"/>
      <c r="R36" s="205"/>
      <c r="S36" s="205"/>
      <c r="T36" s="209"/>
      <c r="U36" s="209"/>
      <c r="V36" s="209"/>
      <c r="W36" s="209"/>
      <c r="X36" s="209"/>
      <c r="Y36" s="209"/>
      <c r="Z36" s="209"/>
    </row>
    <row r="37" spans="1:26" s="206" customFormat="1" ht="23.25" x14ac:dyDescent="0.35">
      <c r="A37" s="207"/>
      <c r="F37" s="196"/>
      <c r="N37" s="205"/>
      <c r="O37" s="205"/>
      <c r="P37" s="205"/>
      <c r="Q37" s="205"/>
      <c r="R37" s="205"/>
      <c r="S37" s="205"/>
      <c r="T37" s="209"/>
      <c r="U37" s="209"/>
      <c r="V37" s="209"/>
      <c r="W37" s="209"/>
      <c r="X37" s="209"/>
      <c r="Y37" s="209"/>
      <c r="Z37" s="209"/>
    </row>
    <row r="38" spans="1:26" s="206" customFormat="1" ht="24.75" hidden="1" customHeight="1" x14ac:dyDescent="0.35">
      <c r="A38" s="207"/>
      <c r="B38" s="210"/>
      <c r="C38" s="813"/>
      <c r="D38" s="814"/>
      <c r="E38" s="814"/>
      <c r="F38" s="196"/>
      <c r="G38" s="824" t="str">
        <f>IF(C47=C50,"Toilet, Urinal and Irrigation demands have all been selected for Non-Potable End Use","Not all demands have been selected for Non-Potable End Use, check Project Definition tab")</f>
        <v>Toilet, Urinal and Irrigation demands have all been selected for Non-Potable End Use</v>
      </c>
      <c r="I38" s="823"/>
      <c r="J38" s="823"/>
      <c r="K38" s="823"/>
      <c r="N38" s="205"/>
      <c r="O38" s="205"/>
      <c r="P38" s="205"/>
      <c r="Q38" s="204"/>
      <c r="R38" s="205"/>
      <c r="S38" s="205"/>
      <c r="T38" s="209"/>
      <c r="U38" s="209"/>
      <c r="V38" s="209"/>
      <c r="W38" s="209"/>
      <c r="X38" s="209"/>
      <c r="Y38" s="209"/>
      <c r="Z38" s="209"/>
    </row>
    <row r="39" spans="1:26" s="206" customFormat="1" ht="15" customHeight="1" x14ac:dyDescent="0.35">
      <c r="A39" s="207"/>
      <c r="B39" s="205"/>
      <c r="C39" s="205"/>
      <c r="D39" s="205"/>
      <c r="E39" s="205"/>
      <c r="F39" s="204"/>
      <c r="G39" s="204"/>
      <c r="H39" s="204"/>
      <c r="I39" s="204"/>
      <c r="J39" s="204"/>
      <c r="K39" s="204"/>
      <c r="N39" s="205"/>
      <c r="O39" s="205"/>
      <c r="P39" s="205"/>
      <c r="Q39" s="205"/>
      <c r="R39" s="205"/>
      <c r="S39" s="205"/>
      <c r="T39" s="209"/>
      <c r="U39" s="209"/>
      <c r="V39" s="209"/>
      <c r="W39" s="209"/>
      <c r="X39" s="209"/>
      <c r="Y39" s="209"/>
      <c r="Z39" s="209"/>
    </row>
    <row r="40" spans="1:26" s="206" customFormat="1" ht="7.5" customHeight="1" x14ac:dyDescent="0.35">
      <c r="A40" s="207"/>
      <c r="B40" s="205"/>
      <c r="C40" s="205"/>
      <c r="D40" s="205"/>
      <c r="E40" s="205"/>
      <c r="F40" s="205"/>
      <c r="G40" s="205"/>
      <c r="H40" s="205"/>
      <c r="I40" s="205"/>
      <c r="J40" s="205"/>
      <c r="K40" s="205"/>
      <c r="L40" s="205"/>
      <c r="M40" s="205"/>
      <c r="N40" s="205"/>
      <c r="O40" s="205"/>
      <c r="P40" s="205"/>
      <c r="Q40" s="205"/>
      <c r="R40" s="205"/>
      <c r="S40" s="205"/>
      <c r="T40" s="209"/>
      <c r="U40" s="209"/>
      <c r="V40" s="209"/>
      <c r="W40" s="209"/>
      <c r="X40" s="209"/>
      <c r="Y40" s="209"/>
      <c r="Z40" s="209"/>
    </row>
    <row r="41" spans="1:26" s="206" customFormat="1" ht="15" customHeight="1" x14ac:dyDescent="0.35">
      <c r="A41" s="1238" t="s">
        <v>691</v>
      </c>
      <c r="B41" s="1094"/>
      <c r="C41" s="1094"/>
      <c r="D41" s="1236"/>
      <c r="E41" s="1236"/>
      <c r="F41" s="1236"/>
      <c r="G41" s="1244"/>
      <c r="H41" s="1245"/>
      <c r="I41" s="1236"/>
      <c r="J41" s="1236"/>
      <c r="K41" s="1236"/>
      <c r="L41" s="205"/>
      <c r="M41" s="205"/>
      <c r="N41" s="205"/>
      <c r="O41" s="205"/>
      <c r="P41" s="205"/>
      <c r="Q41" s="205"/>
      <c r="R41" s="205"/>
      <c r="S41" s="205"/>
      <c r="T41" s="209"/>
      <c r="U41" s="209"/>
      <c r="V41" s="209"/>
      <c r="W41" s="209"/>
      <c r="X41" s="209"/>
      <c r="Y41" s="209"/>
      <c r="Z41" s="209"/>
    </row>
    <row r="42" spans="1:26" s="206" customFormat="1" ht="15" customHeight="1" x14ac:dyDescent="0.35">
      <c r="A42" s="207"/>
      <c r="B42" s="114"/>
      <c r="D42" s="205"/>
      <c r="E42" s="221"/>
      <c r="F42" s="205"/>
      <c r="G42" s="211"/>
      <c r="H42" s="218"/>
      <c r="I42" s="205"/>
      <c r="J42" s="205"/>
      <c r="K42" s="205"/>
      <c r="L42" s="205"/>
      <c r="M42" s="205"/>
      <c r="N42" s="205"/>
      <c r="O42" s="205"/>
      <c r="P42" s="205"/>
      <c r="Q42" s="205"/>
      <c r="R42" s="205"/>
      <c r="S42" s="205"/>
      <c r="T42" s="209"/>
      <c r="U42" s="209"/>
      <c r="V42" s="209"/>
      <c r="W42" s="209"/>
      <c r="X42" s="209"/>
      <c r="Y42" s="209"/>
      <c r="Z42" s="209"/>
    </row>
    <row r="43" spans="1:26" s="206" customFormat="1" ht="16.5" customHeight="1" x14ac:dyDescent="0.35">
      <c r="A43" s="207"/>
      <c r="B43" s="113" t="s">
        <v>692</v>
      </c>
      <c r="C43" s="191">
        <f>'7. Project Definition'!C146</f>
        <v>0</v>
      </c>
      <c r="D43" s="205"/>
      <c r="E43" s="221"/>
      <c r="F43" s="205"/>
      <c r="G43" s="211"/>
      <c r="H43" s="218"/>
      <c r="I43" s="205"/>
      <c r="J43" s="205"/>
      <c r="K43" s="205"/>
      <c r="L43" s="205"/>
      <c r="M43" s="205"/>
      <c r="N43" s="205"/>
      <c r="O43" s="205"/>
      <c r="P43" s="205"/>
      <c r="Q43" s="205"/>
      <c r="R43" s="205"/>
      <c r="S43" s="205"/>
      <c r="T43" s="209"/>
      <c r="U43" s="209"/>
      <c r="V43" s="209"/>
      <c r="W43" s="209"/>
      <c r="X43" s="209"/>
      <c r="Y43" s="209"/>
      <c r="Z43" s="209"/>
    </row>
    <row r="44" spans="1:26" s="206" customFormat="1" ht="15" customHeight="1" x14ac:dyDescent="0.35">
      <c r="A44" s="207"/>
      <c r="B44" s="210" t="s">
        <v>694</v>
      </c>
      <c r="C44" s="191">
        <f>'6. Building Potential Summary'!C48</f>
        <v>0</v>
      </c>
      <c r="D44" s="192" t="s">
        <v>720</v>
      </c>
      <c r="E44" s="221"/>
      <c r="F44" s="205"/>
      <c r="G44" s="812"/>
      <c r="H44" s="218"/>
      <c r="I44" s="205"/>
      <c r="J44" s="205"/>
      <c r="K44" s="205"/>
      <c r="L44" s="205"/>
      <c r="M44" s="205"/>
      <c r="N44" s="205"/>
      <c r="O44" s="205"/>
      <c r="P44" s="205"/>
      <c r="Q44" s="205"/>
      <c r="R44" s="205"/>
      <c r="S44" s="205"/>
      <c r="T44" s="209"/>
      <c r="U44" s="209"/>
      <c r="V44" s="209"/>
      <c r="W44" s="209"/>
      <c r="X44" s="209"/>
      <c r="Y44" s="209"/>
      <c r="Z44" s="209"/>
    </row>
    <row r="45" spans="1:26" s="206" customFormat="1" ht="15" customHeight="1" x14ac:dyDescent="0.35">
      <c r="A45" s="207"/>
      <c r="B45" s="210" t="s">
        <v>693</v>
      </c>
      <c r="C45" s="193" t="e">
        <f>C43/C44</f>
        <v>#DIV/0!</v>
      </c>
      <c r="D45" s="192"/>
      <c r="E45" s="221"/>
      <c r="F45" s="205"/>
      <c r="G45" s="211"/>
      <c r="H45" s="218"/>
      <c r="I45" s="205"/>
      <c r="J45" s="205"/>
      <c r="K45" s="205"/>
      <c r="L45" s="205"/>
      <c r="M45" s="205"/>
      <c r="N45" s="205"/>
      <c r="O45" s="205"/>
      <c r="P45" s="205"/>
      <c r="Q45" s="205"/>
      <c r="R45" s="205"/>
      <c r="S45" s="205"/>
      <c r="T45" s="209"/>
      <c r="U45" s="209"/>
      <c r="V45" s="209"/>
      <c r="W45" s="209"/>
      <c r="X45" s="209"/>
      <c r="Y45" s="209"/>
      <c r="Z45" s="209"/>
    </row>
    <row r="46" spans="1:26" s="206" customFormat="1" ht="6.75" customHeight="1" x14ac:dyDescent="0.35">
      <c r="A46" s="207"/>
      <c r="B46" s="210"/>
      <c r="C46" s="210"/>
      <c r="D46" s="192"/>
      <c r="E46" s="221"/>
      <c r="F46" s="205"/>
      <c r="G46" s="211"/>
      <c r="H46" s="218"/>
      <c r="I46" s="205"/>
      <c r="J46" s="205"/>
      <c r="K46" s="205"/>
      <c r="L46" s="205"/>
      <c r="M46" s="205"/>
      <c r="N46" s="205"/>
      <c r="O46" s="205"/>
      <c r="P46" s="205"/>
      <c r="Q46" s="205"/>
      <c r="R46" s="205"/>
      <c r="S46" s="205"/>
      <c r="T46" s="209"/>
      <c r="U46" s="209"/>
      <c r="V46" s="209"/>
      <c r="W46" s="209"/>
      <c r="X46" s="209"/>
      <c r="Y46" s="209"/>
      <c r="Z46" s="209"/>
    </row>
    <row r="47" spans="1:26" s="206" customFormat="1" ht="15" customHeight="1" x14ac:dyDescent="0.35">
      <c r="A47" s="207"/>
      <c r="B47" s="811" t="s">
        <v>792</v>
      </c>
      <c r="C47" s="816">
        <f>SUM('6. Building Potential Summary'!C52,'6. Building Potential Summary'!C54)</f>
        <v>0</v>
      </c>
      <c r="D47" s="817" t="s">
        <v>720</v>
      </c>
      <c r="E47" s="204"/>
      <c r="F47" s="204"/>
      <c r="G47" s="204"/>
      <c r="H47" s="205"/>
      <c r="I47" s="205"/>
      <c r="J47" s="205"/>
      <c r="K47" s="205"/>
      <c r="L47" s="205"/>
      <c r="M47" s="205"/>
      <c r="N47" s="205"/>
      <c r="O47" s="205"/>
      <c r="P47" s="205"/>
      <c r="Q47" s="205"/>
      <c r="R47" s="205"/>
      <c r="S47" s="205"/>
      <c r="T47" s="209"/>
      <c r="U47" s="209"/>
      <c r="V47" s="209"/>
      <c r="W47" s="209"/>
      <c r="X47" s="209"/>
      <c r="Y47" s="209"/>
      <c r="Z47" s="209"/>
    </row>
    <row r="48" spans="1:26" s="208" customFormat="1" ht="15" customHeight="1" x14ac:dyDescent="0.2">
      <c r="A48" s="213"/>
      <c r="B48" s="811" t="s">
        <v>793</v>
      </c>
      <c r="C48" s="818">
        <f>IF(C43&gt;=C47,1,C43/C47)</f>
        <v>1</v>
      </c>
      <c r="D48" s="817" t="s">
        <v>720</v>
      </c>
      <c r="F48" s="819"/>
      <c r="G48" s="819"/>
      <c r="H48" s="212"/>
      <c r="I48" s="212"/>
      <c r="J48" s="212"/>
      <c r="K48" s="212"/>
      <c r="N48" s="212"/>
      <c r="O48" s="212"/>
      <c r="P48" s="212"/>
      <c r="Q48" s="212"/>
      <c r="R48" s="212"/>
      <c r="S48" s="212"/>
    </row>
    <row r="49" spans="1:26" s="206" customFormat="1" ht="6.75" customHeight="1" x14ac:dyDescent="0.35">
      <c r="A49" s="207"/>
      <c r="B49" s="811"/>
      <c r="C49" s="811"/>
      <c r="D49" s="817"/>
      <c r="E49" s="820"/>
      <c r="F49" s="204"/>
      <c r="G49" s="821"/>
      <c r="H49" s="218"/>
      <c r="I49" s="205"/>
      <c r="J49" s="205"/>
      <c r="K49" s="205"/>
      <c r="L49" s="205"/>
      <c r="M49" s="205"/>
      <c r="N49" s="205"/>
      <c r="O49" s="205"/>
      <c r="P49" s="205"/>
      <c r="Q49" s="205"/>
      <c r="R49" s="205"/>
      <c r="S49" s="205"/>
      <c r="T49" s="209"/>
      <c r="U49" s="209"/>
      <c r="V49" s="209"/>
      <c r="W49" s="209"/>
      <c r="X49" s="209"/>
      <c r="Y49" s="209"/>
      <c r="Z49" s="209"/>
    </row>
    <row r="50" spans="1:26" s="208" customFormat="1" ht="15" customHeight="1" x14ac:dyDescent="0.2">
      <c r="A50" s="213"/>
      <c r="B50" s="811" t="s">
        <v>789</v>
      </c>
      <c r="C50" s="816">
        <f>SUM('7. Project Definition'!F158,'7. Project Definition'!F159)</f>
        <v>0</v>
      </c>
      <c r="D50" s="817" t="s">
        <v>721</v>
      </c>
      <c r="F50" s="819"/>
      <c r="G50" s="819"/>
      <c r="H50" s="212"/>
      <c r="I50" s="212"/>
      <c r="J50" s="212"/>
      <c r="K50" s="212"/>
      <c r="N50" s="212"/>
      <c r="O50" s="212"/>
      <c r="P50" s="212"/>
      <c r="Q50" s="212"/>
      <c r="R50" s="212"/>
      <c r="S50" s="212"/>
    </row>
    <row r="51" spans="1:26" s="208" customFormat="1" ht="17.25" customHeight="1" x14ac:dyDescent="0.2">
      <c r="A51" s="213"/>
      <c r="B51" s="811" t="s">
        <v>790</v>
      </c>
      <c r="C51" s="822" t="str">
        <f>IF(C50=0,"No Toilet or Irrigation Demand",IF(C43/C50&gt;=1,1,C43/C50))</f>
        <v>No Toilet or Irrigation Demand</v>
      </c>
      <c r="D51" s="817" t="s">
        <v>721</v>
      </c>
      <c r="F51" s="819"/>
      <c r="G51" s="819"/>
      <c r="H51" s="212"/>
      <c r="I51" s="212"/>
      <c r="J51" s="212"/>
      <c r="K51" s="212"/>
      <c r="N51" s="212"/>
      <c r="O51" s="212"/>
      <c r="P51" s="212"/>
      <c r="Q51" s="212"/>
      <c r="R51" s="212"/>
      <c r="S51" s="212"/>
    </row>
    <row r="52" spans="1:26" s="208" customFormat="1" ht="7.5" customHeight="1" x14ac:dyDescent="0.2">
      <c r="A52" s="213"/>
      <c r="B52" s="210"/>
      <c r="C52" s="224"/>
      <c r="F52" s="212"/>
      <c r="G52" s="212"/>
      <c r="H52" s="212"/>
      <c r="I52" s="212"/>
      <c r="J52" s="212"/>
      <c r="K52" s="212"/>
      <c r="N52" s="212"/>
      <c r="O52" s="212"/>
      <c r="P52" s="212"/>
      <c r="Q52" s="212"/>
      <c r="R52" s="212"/>
      <c r="S52" s="212"/>
    </row>
    <row r="53" spans="1:26" s="208" customFormat="1" ht="15" customHeight="1" x14ac:dyDescent="0.2">
      <c r="A53" s="142"/>
      <c r="B53" s="143"/>
      <c r="C53" s="222"/>
      <c r="D53" s="222"/>
      <c r="E53" s="222"/>
      <c r="F53" s="222"/>
      <c r="G53" s="222"/>
      <c r="H53" s="222"/>
      <c r="I53" s="222"/>
      <c r="J53" s="222"/>
      <c r="K53" s="222"/>
    </row>
    <row r="54" spans="1:26" s="206" customFormat="1" ht="12.75" customHeight="1" x14ac:dyDescent="0.35">
      <c r="A54" s="207"/>
      <c r="B54" s="66"/>
      <c r="J54" s="66"/>
      <c r="K54" s="66"/>
    </row>
    <row r="55" spans="1:26" s="206" customFormat="1" ht="12.75" customHeight="1" x14ac:dyDescent="0.35">
      <c r="A55" s="207"/>
      <c r="B55" s="66"/>
      <c r="J55" s="66"/>
      <c r="K55" s="66"/>
    </row>
    <row r="56" spans="1:26" s="206" customFormat="1" ht="12.75" customHeight="1" x14ac:dyDescent="0.35">
      <c r="A56" s="207"/>
      <c r="B56" s="66"/>
      <c r="J56" s="66"/>
      <c r="K56" s="66"/>
    </row>
    <row r="57" spans="1:26" s="206" customFormat="1" ht="12.75" customHeight="1" x14ac:dyDescent="0.35">
      <c r="A57" s="207"/>
      <c r="B57" s="66"/>
      <c r="J57" s="66"/>
      <c r="K57" s="66"/>
    </row>
    <row r="58" spans="1:26" s="206" customFormat="1" ht="12.75" customHeight="1" x14ac:dyDescent="0.35">
      <c r="A58" s="207"/>
      <c r="B58" s="66"/>
      <c r="J58" s="66"/>
      <c r="K58" s="66"/>
    </row>
    <row r="59" spans="1:26" s="206" customFormat="1" ht="12.75" customHeight="1" x14ac:dyDescent="0.35">
      <c r="A59" s="207"/>
      <c r="B59" s="66"/>
      <c r="J59" s="66"/>
      <c r="K59" s="66"/>
    </row>
    <row r="60" spans="1:26" s="206" customFormat="1" ht="12.75" customHeight="1" x14ac:dyDescent="0.35">
      <c r="A60" s="207"/>
      <c r="B60" s="66"/>
      <c r="J60" s="66"/>
      <c r="K60" s="66"/>
    </row>
    <row r="61" spans="1:26" s="206" customFormat="1" ht="12.75" customHeight="1" x14ac:dyDescent="0.35">
      <c r="A61" s="207"/>
      <c r="B61" s="66"/>
      <c r="J61" s="66"/>
      <c r="K61" s="66"/>
    </row>
    <row r="62" spans="1:26" s="206" customFormat="1" ht="12.75" hidden="1" customHeight="1" x14ac:dyDescent="0.35">
      <c r="A62" s="207"/>
      <c r="B62" s="66"/>
      <c r="J62" s="66"/>
      <c r="K62" s="66"/>
    </row>
    <row r="63" spans="1:26" s="206" customFormat="1" ht="12.75" hidden="1" customHeight="1" x14ac:dyDescent="0.35">
      <c r="A63" s="207"/>
      <c r="B63" s="66"/>
      <c r="J63" s="66"/>
      <c r="K63" s="66"/>
    </row>
    <row r="64" spans="1:26" s="719" customFormat="1" ht="15" hidden="1" x14ac:dyDescent="0.2">
      <c r="A64" s="207" t="s">
        <v>334</v>
      </c>
    </row>
    <row r="65" spans="1:15" s="719" customFormat="1" ht="12.75" hidden="1" customHeight="1" x14ac:dyDescent="0.2"/>
    <row r="66" spans="1:15" s="719" customFormat="1" hidden="1" x14ac:dyDescent="0.2">
      <c r="B66" s="1260" t="s">
        <v>39</v>
      </c>
      <c r="C66" s="62" t="str">
        <f>IF('1. Building Information'!$C$14=0,"",'1. Building Information'!$C$14)</f>
        <v>Project Name</v>
      </c>
      <c r="D66" s="63"/>
      <c r="E66" s="63"/>
      <c r="F66" s="84" t="s">
        <v>314</v>
      </c>
      <c r="G66" s="72"/>
      <c r="H66" s="205"/>
      <c r="K66" s="1260" t="s">
        <v>41</v>
      </c>
      <c r="L66" s="71">
        <f>IF('1. Building Information'!C22=0,"",'1. Building Information'!C22)</f>
        <v>42370</v>
      </c>
      <c r="M66" s="55"/>
      <c r="N66" s="55"/>
      <c r="O66" s="84" t="s">
        <v>314</v>
      </c>
    </row>
    <row r="67" spans="1:15" s="719" customFormat="1" hidden="1" x14ac:dyDescent="0.2">
      <c r="B67" s="1260" t="s">
        <v>297</v>
      </c>
      <c r="C67" s="57" t="str">
        <f>IF('1. Building Information'!$C$16:$D$16=0,"",'1. Building Information'!$C$16:$D$16)</f>
        <v>Project Address</v>
      </c>
      <c r="D67" s="55"/>
      <c r="E67" s="55"/>
      <c r="F67" s="85" t="s">
        <v>314</v>
      </c>
      <c r="G67" s="56"/>
      <c r="H67" s="205"/>
      <c r="K67" s="1260" t="s">
        <v>42</v>
      </c>
      <c r="L67" s="54" t="str">
        <f>IF('1. Building Information'!C25=0,"Contact Name Missing",'1. Building Information'!C25)</f>
        <v>J.D. Smith</v>
      </c>
      <c r="M67" s="55"/>
      <c r="N67" s="55"/>
      <c r="O67" s="96" t="s">
        <v>314</v>
      </c>
    </row>
    <row r="68" spans="1:15" s="719" customFormat="1" hidden="1" x14ac:dyDescent="0.2">
      <c r="B68" s="11"/>
      <c r="C68" s="57" t="str">
        <f>IF('1. Building Information'!C17:D17=0,"",'1. Building Information'!C17:D17)</f>
        <v/>
      </c>
      <c r="D68" s="205"/>
      <c r="E68" s="205"/>
      <c r="F68" s="57"/>
      <c r="G68" s="58"/>
      <c r="H68" s="205"/>
      <c r="L68" s="57" t="str">
        <f>IF('1. Building Information'!C26=0,"Phone Number Missing",'1. Building Information'!C26)</f>
        <v>555-555-5555</v>
      </c>
      <c r="M68" s="205"/>
      <c r="N68" s="205"/>
      <c r="O68" s="14"/>
    </row>
    <row r="69" spans="1:15" s="719" customFormat="1" hidden="1" x14ac:dyDescent="0.2">
      <c r="B69" s="11"/>
      <c r="C69" s="59" t="str">
        <f>IF('1. Building Information'!C18:D18=0,"",'1. Building Information'!C18:D18)</f>
        <v/>
      </c>
      <c r="D69" s="60"/>
      <c r="E69" s="60"/>
      <c r="F69" s="59"/>
      <c r="G69" s="61"/>
      <c r="H69" s="205"/>
      <c r="L69" s="59" t="str">
        <f>IF('1. Building Information'!C27=0,"E-mail Missing",'1. Building Information'!C27)</f>
        <v>info@developer.com</v>
      </c>
      <c r="M69" s="60"/>
      <c r="N69" s="60"/>
      <c r="O69" s="86"/>
    </row>
    <row r="70" spans="1:15" s="719" customFormat="1" hidden="1" x14ac:dyDescent="0.2">
      <c r="B70" s="1260" t="s">
        <v>298</v>
      </c>
      <c r="C70" s="65" t="str">
        <f>'1. Building Information'!C20:D20</f>
        <v>BBL</v>
      </c>
      <c r="D70" s="63"/>
      <c r="E70" s="63"/>
      <c r="F70" s="95" t="s">
        <v>314</v>
      </c>
      <c r="G70" s="64"/>
      <c r="H70" s="205"/>
      <c r="I70" s="205"/>
    </row>
    <row r="71" spans="1:15" s="719" customFormat="1" hidden="1" x14ac:dyDescent="0.2">
      <c r="B71" s="1260"/>
      <c r="C71" s="70"/>
      <c r="D71" s="205"/>
      <c r="E71" s="205"/>
      <c r="F71" s="205"/>
      <c r="G71" s="205"/>
      <c r="H71" s="205"/>
      <c r="I71" s="205"/>
    </row>
    <row r="72" spans="1:15" s="719" customFormat="1" ht="4.5" hidden="1" customHeight="1" x14ac:dyDescent="0.2">
      <c r="A72" s="99"/>
      <c r="B72" s="100"/>
      <c r="C72" s="99"/>
      <c r="D72" s="99"/>
      <c r="E72" s="99"/>
      <c r="F72" s="99"/>
      <c r="G72" s="99"/>
      <c r="H72" s="99"/>
      <c r="I72" s="99"/>
      <c r="J72" s="99"/>
      <c r="K72" s="99"/>
      <c r="L72" s="99"/>
      <c r="M72" s="99"/>
      <c r="N72" s="99"/>
      <c r="O72" s="99"/>
    </row>
    <row r="73" spans="1:15" s="719" customFormat="1" ht="15" hidden="1" x14ac:dyDescent="0.2">
      <c r="A73" s="207" t="s">
        <v>351</v>
      </c>
    </row>
    <row r="74" spans="1:15" s="719" customFormat="1" hidden="1" x14ac:dyDescent="0.2"/>
    <row r="75" spans="1:15" s="719" customFormat="1" ht="29.25" hidden="1" customHeight="1" x14ac:dyDescent="0.2">
      <c r="B75" s="1260" t="s">
        <v>299</v>
      </c>
      <c r="C75" s="83" t="e">
        <f>'1. Building Information'!#REF!</f>
        <v>#REF!</v>
      </c>
      <c r="D75" s="63"/>
      <c r="E75" s="63"/>
      <c r="F75" s="95" t="s">
        <v>314</v>
      </c>
      <c r="G75" s="64"/>
      <c r="I75" s="1833" t="s">
        <v>302</v>
      </c>
      <c r="J75" s="1833"/>
      <c r="K75" s="1834"/>
      <c r="L75" s="69" t="e">
        <f>'1. Building Information'!#REF!</f>
        <v>#REF!</v>
      </c>
      <c r="M75" s="63" t="s">
        <v>1</v>
      </c>
      <c r="N75" s="63"/>
      <c r="O75" s="84" t="s">
        <v>314</v>
      </c>
    </row>
    <row r="76" spans="1:15" s="719" customFormat="1" ht="25.5" hidden="1" customHeight="1" x14ac:dyDescent="0.2">
      <c r="B76" s="1263" t="s">
        <v>300</v>
      </c>
      <c r="C76" s="68" t="e">
        <f>'1. Building Information'!#REF!</f>
        <v>#REF!</v>
      </c>
      <c r="D76" s="63" t="s">
        <v>1</v>
      </c>
      <c r="E76" s="63"/>
      <c r="F76" s="95" t="s">
        <v>314</v>
      </c>
      <c r="G76" s="64"/>
      <c r="I76" s="1833" t="s">
        <v>304</v>
      </c>
      <c r="J76" s="1833"/>
      <c r="K76" s="1834"/>
      <c r="L76" s="69" t="e">
        <f>'1. Building Information'!#REF!</f>
        <v>#REF!</v>
      </c>
      <c r="M76" s="63" t="s">
        <v>1</v>
      </c>
      <c r="N76" s="63"/>
      <c r="O76" s="84" t="s">
        <v>314</v>
      </c>
    </row>
    <row r="77" spans="1:15" s="719" customFormat="1" ht="14.25" hidden="1" x14ac:dyDescent="0.2">
      <c r="B77" s="1260" t="s">
        <v>305</v>
      </c>
      <c r="C77" s="68" t="e">
        <f>'1. Building Information'!#REF!</f>
        <v>#REF!</v>
      </c>
      <c r="D77" s="63" t="s">
        <v>1</v>
      </c>
      <c r="E77" s="63"/>
      <c r="F77" s="95" t="s">
        <v>314</v>
      </c>
      <c r="G77" s="64"/>
      <c r="I77" s="1833" t="s">
        <v>303</v>
      </c>
      <c r="J77" s="1833"/>
      <c r="K77" s="1834"/>
      <c r="L77" s="69" t="e">
        <f>'1. Building Information'!#REF!</f>
        <v>#REF!</v>
      </c>
      <c r="M77" s="63" t="s">
        <v>1</v>
      </c>
      <c r="N77" s="63"/>
      <c r="O77" s="84" t="s">
        <v>314</v>
      </c>
    </row>
    <row r="78" spans="1:15" s="719" customFormat="1" hidden="1" x14ac:dyDescent="0.2">
      <c r="B78" s="1260" t="s">
        <v>301</v>
      </c>
      <c r="C78" s="73">
        <f>'1. Building Information'!C90</f>
        <v>0</v>
      </c>
      <c r="D78" s="60" t="s">
        <v>315</v>
      </c>
      <c r="E78" s="60"/>
      <c r="F78" s="97" t="s">
        <v>314</v>
      </c>
      <c r="G78" s="61"/>
      <c r="I78" s="1827" t="s">
        <v>306</v>
      </c>
      <c r="J78" s="1827"/>
      <c r="K78" s="1835"/>
      <c r="L78" s="67" t="e">
        <f>'1. Building Information'!#REF!</f>
        <v>#REF!</v>
      </c>
      <c r="M78" s="63"/>
      <c r="N78" s="63"/>
      <c r="O78" s="84" t="s">
        <v>314</v>
      </c>
    </row>
    <row r="79" spans="1:15" s="719" customFormat="1" ht="39" hidden="1" customHeight="1" x14ac:dyDescent="0.2">
      <c r="B79" s="1260"/>
      <c r="C79" s="91"/>
      <c r="D79" s="205"/>
      <c r="E79" s="205"/>
      <c r="F79" s="205"/>
      <c r="G79" s="205"/>
      <c r="I79" s="1836" t="s">
        <v>331</v>
      </c>
      <c r="J79" s="1836"/>
      <c r="K79" s="1836"/>
      <c r="L79" s="67" t="e">
        <f>'4. Outdoor Water Demand'!#REF!</f>
        <v>#REF!</v>
      </c>
      <c r="M79" s="63"/>
      <c r="N79" s="64"/>
      <c r="O79" s="84" t="s">
        <v>333</v>
      </c>
    </row>
    <row r="80" spans="1:15" s="719" customFormat="1" hidden="1" x14ac:dyDescent="0.2"/>
    <row r="81" spans="1:15" s="719" customFormat="1" ht="4.5" hidden="1" customHeight="1" x14ac:dyDescent="0.2">
      <c r="A81" s="99"/>
      <c r="B81" s="100"/>
      <c r="C81" s="99"/>
      <c r="D81" s="99"/>
      <c r="E81" s="99"/>
      <c r="F81" s="99"/>
      <c r="G81" s="99"/>
      <c r="H81" s="99"/>
      <c r="I81" s="99"/>
      <c r="J81" s="99"/>
      <c r="K81" s="99"/>
      <c r="L81" s="99"/>
      <c r="M81" s="99"/>
      <c r="N81" s="99"/>
      <c r="O81" s="99"/>
    </row>
    <row r="82" spans="1:15" s="719" customFormat="1" ht="15" hidden="1" x14ac:dyDescent="0.2">
      <c r="A82" s="207" t="s">
        <v>352</v>
      </c>
      <c r="B82" s="53"/>
    </row>
    <row r="83" spans="1:15" s="719" customFormat="1" ht="13.5" hidden="1" thickBot="1" x14ac:dyDescent="0.25"/>
    <row r="84" spans="1:15" s="719" customFormat="1" hidden="1" x14ac:dyDescent="0.2">
      <c r="B84" s="87" t="s">
        <v>307</v>
      </c>
      <c r="C84" s="9"/>
      <c r="D84" s="9"/>
      <c r="E84" s="9"/>
      <c r="F84" s="9"/>
      <c r="G84" s="10"/>
      <c r="I84" s="87" t="s">
        <v>330</v>
      </c>
      <c r="J84" s="9"/>
      <c r="K84" s="9"/>
      <c r="L84" s="9"/>
      <c r="M84" s="9"/>
      <c r="N84" s="9"/>
      <c r="O84" s="10"/>
    </row>
    <row r="85" spans="1:15" s="719" customFormat="1" ht="25.5" hidden="1" x14ac:dyDescent="0.2">
      <c r="B85" s="1262" t="s">
        <v>308</v>
      </c>
      <c r="C85" s="92" t="s">
        <v>309</v>
      </c>
      <c r="D85" s="1831" t="s">
        <v>316</v>
      </c>
      <c r="E85" s="1831"/>
      <c r="F85" s="1831"/>
      <c r="G85" s="93" t="s">
        <v>317</v>
      </c>
      <c r="I85" s="1832" t="s">
        <v>322</v>
      </c>
      <c r="J85" s="1831"/>
      <c r="K85" s="1831"/>
      <c r="L85" s="92" t="s">
        <v>320</v>
      </c>
      <c r="M85" s="1822" t="s">
        <v>316</v>
      </c>
      <c r="N85" s="1823"/>
      <c r="O85" s="93" t="s">
        <v>317</v>
      </c>
    </row>
    <row r="86" spans="1:15" s="719" customFormat="1" ht="27" hidden="1" customHeight="1" x14ac:dyDescent="0.2">
      <c r="B86" s="1259" t="s">
        <v>310</v>
      </c>
      <c r="C86" s="75">
        <f>'7. Project Definition'!F131</f>
        <v>0</v>
      </c>
      <c r="D86" s="1805" t="str">
        <f>IF(AND(C86=0,'6. Building Potential Summary'!C75&gt;0),"Rainwater available but currently not selected for reuse", IF(AND('8. Printable Project Summary'!C86=0,'6. Building Potential Summary'!C75=0),"No Rainwater Supply Available or No Available Cistern for Storage",""))</f>
        <v>No Rainwater Supply Available or No Available Cistern for Storage</v>
      </c>
      <c r="E86" s="1806"/>
      <c r="F86" s="1807"/>
      <c r="G86" s="88" t="s">
        <v>314</v>
      </c>
      <c r="I86" s="1808" t="s">
        <v>318</v>
      </c>
      <c r="J86" s="1809"/>
      <c r="K86" s="1809"/>
      <c r="L86" s="75">
        <f>SUM('7. Project Definition'!F25:F26,'7. Project Definition'!F30)</f>
        <v>0</v>
      </c>
      <c r="M86" s="1828" t="str">
        <f>IF(AND(L86=0,SUM('6. Building Potential Summary'!D28)&gt;0),"Demand exists but non-potable will not provide supply","")</f>
        <v/>
      </c>
      <c r="N86" s="1829"/>
      <c r="O86" s="98" t="s">
        <v>314</v>
      </c>
    </row>
    <row r="87" spans="1:15" s="719" customFormat="1" ht="36.75" hidden="1" customHeight="1" x14ac:dyDescent="0.2">
      <c r="B87" s="1259" t="s">
        <v>311</v>
      </c>
      <c r="C87" s="75" t="e">
        <f>'7. Project Definition'!#REF!</f>
        <v>#REF!</v>
      </c>
      <c r="D87" s="1805" t="e">
        <f>IF(AND(C87=0,'6. Building Potential Summary'!#REF!&gt;0),"Stormwater available but currently not selected for reuse", IF(AND('8. Printable Project Summary'!C87=0,'6. Building Potential Summary'!#REF!=0),"No Stormwater Supply Available or No Available Cistern for Storage",""))</f>
        <v>#REF!</v>
      </c>
      <c r="E87" s="1806"/>
      <c r="F87" s="1807"/>
      <c r="G87" s="88" t="s">
        <v>314</v>
      </c>
      <c r="I87" s="1810" t="s">
        <v>382</v>
      </c>
      <c r="J87" s="1811"/>
      <c r="K87" s="1812"/>
      <c r="L87" s="75">
        <f>'7. Project Definition'!F46</f>
        <v>0</v>
      </c>
      <c r="M87" s="1828" t="str">
        <f>IF(AND(L87=0,'6. Building Potential Summary'!D41&gt;0),"Demand exists but non-potable will not provide supply","")</f>
        <v/>
      </c>
      <c r="N87" s="1829"/>
      <c r="O87" s="98" t="s">
        <v>314</v>
      </c>
    </row>
    <row r="88" spans="1:15" s="719" customFormat="1" ht="27" hidden="1" customHeight="1" x14ac:dyDescent="0.2">
      <c r="B88" s="1259" t="s">
        <v>312</v>
      </c>
      <c r="C88" s="75">
        <f>'7. Project Definition'!F118</f>
        <v>0</v>
      </c>
      <c r="D88" s="1805" t="str">
        <f>IF(AND(C88=0,'6. Building Potential Summary'!C69&gt;0),"Graywater available but currently not selected for reuse", IF(AND('8. Printable Project Summary'!C88=0,'6. Building Potential Summary'!C69=0),"No Graywater Supply Available",""))</f>
        <v>No Graywater Supply Available</v>
      </c>
      <c r="E88" s="1806"/>
      <c r="F88" s="1807"/>
      <c r="G88" s="88" t="s">
        <v>314</v>
      </c>
      <c r="I88" s="1808" t="s">
        <v>321</v>
      </c>
      <c r="J88" s="1809"/>
      <c r="K88" s="1809"/>
      <c r="L88" s="75">
        <f>'7. Project Definition'!F50+'7. Project Definition'!F37</f>
        <v>0</v>
      </c>
      <c r="M88" s="1828" t="str">
        <f>IF(AND(L88=0,OR('6. Building Potential Summary'!D42&gt;0,'6. Building Potential Summary'!D36&gt;0)),"Demand exists but non-potable will not provide supply","")</f>
        <v/>
      </c>
      <c r="N88" s="1829"/>
      <c r="O88" s="98" t="s">
        <v>314</v>
      </c>
    </row>
    <row r="89" spans="1:15" s="719" customFormat="1" ht="40.5" hidden="1" customHeight="1" x14ac:dyDescent="0.2">
      <c r="B89" s="1259" t="s">
        <v>313</v>
      </c>
      <c r="C89" s="75" t="e">
        <f>'7. Project Definition'!#REF!</f>
        <v>#REF!</v>
      </c>
      <c r="D89" s="1805" t="e">
        <f>IF(AND(C89=0,'6. Building Potential Summary'!#REF!&gt;0),"Foundation Drainage supply available but currently not selected for reuse", IF(AND('8. Printable Project Summary'!C89=0,'6. Building Potential Summary'!#REF!=0),"No Foundation Drainage supply available",""))</f>
        <v>#REF!</v>
      </c>
      <c r="E89" s="1806"/>
      <c r="F89" s="1807"/>
      <c r="G89" s="88" t="s">
        <v>314</v>
      </c>
      <c r="I89" s="1808" t="s">
        <v>319</v>
      </c>
      <c r="J89" s="1809"/>
      <c r="K89" s="1809"/>
      <c r="L89" s="75">
        <f>'7. Project Definition'!F34</f>
        <v>0</v>
      </c>
      <c r="M89" s="1828" t="str">
        <f>IF(AND(L89=0,'6. Building Potential Summary'!D33&gt;0),"Demand exists but non-potable will not provide supply","")</f>
        <v/>
      </c>
      <c r="N89" s="1829"/>
      <c r="O89" s="98" t="s">
        <v>314</v>
      </c>
    </row>
    <row r="90" spans="1:15" s="719" customFormat="1" ht="36" hidden="1" customHeight="1" x14ac:dyDescent="0.2">
      <c r="B90" s="1259" t="s">
        <v>326</v>
      </c>
      <c r="C90" s="75">
        <f>'7. Project Definition'!F119</f>
        <v>0</v>
      </c>
      <c r="D90" s="1816" t="str">
        <f>IF(AND(C90=0,'6. Building Potential Summary'!C71&gt;0),"Blackwater supply available but currently not selected for reuse", IF(AND('8. Printable Project Summary'!C90=0,'6. Building Potential Summary'!C71=0),"No Blackwater supply available",""))</f>
        <v>No Blackwater supply available</v>
      </c>
      <c r="E90" s="1817"/>
      <c r="F90" s="1818"/>
      <c r="G90" s="88" t="s">
        <v>314</v>
      </c>
      <c r="I90" s="1808" t="s">
        <v>10</v>
      </c>
      <c r="J90" s="1809"/>
      <c r="K90" s="1809"/>
      <c r="L90" s="75">
        <f>SUM('7. Project Definition'!F38,'7. Project Definition'!F39,'7. Project Definition'!F51)</f>
        <v>0</v>
      </c>
      <c r="M90" s="1828" t="str">
        <f>IF(AND(L90=0,('7. Project Definition'!F39+'7. Project Definition'!F51)&gt;0),"Demand exists but non-potable will not provide supply","")</f>
        <v/>
      </c>
      <c r="N90" s="1829"/>
      <c r="O90" s="98" t="s">
        <v>314</v>
      </c>
    </row>
    <row r="91" spans="1:15" s="719" customFormat="1" ht="14.25" hidden="1" x14ac:dyDescent="0.2">
      <c r="B91" s="1259" t="s">
        <v>328</v>
      </c>
      <c r="C91" s="75" t="e">
        <f>SUM(C86:C90)</f>
        <v>#REF!</v>
      </c>
      <c r="D91" s="1819"/>
      <c r="E91" s="1819"/>
      <c r="F91" s="1819"/>
      <c r="G91" s="89"/>
      <c r="I91" s="1808" t="s">
        <v>383</v>
      </c>
      <c r="J91" s="1809"/>
      <c r="K91" s="1809"/>
      <c r="L91" s="75">
        <f>SUM(L86:L90)</f>
        <v>0</v>
      </c>
      <c r="M91" s="1828"/>
      <c r="N91" s="1829"/>
      <c r="O91" s="90"/>
    </row>
    <row r="92" spans="1:15" s="719" customFormat="1" ht="30" hidden="1" customHeight="1" thickBot="1" x14ac:dyDescent="0.25">
      <c r="B92" s="1813" t="s">
        <v>329</v>
      </c>
      <c r="C92" s="1814"/>
      <c r="D92" s="1814"/>
      <c r="E92" s="1814"/>
      <c r="F92" s="1814"/>
      <c r="G92" s="1815"/>
      <c r="I92" s="1824"/>
      <c r="J92" s="1825"/>
      <c r="K92" s="1825"/>
      <c r="L92" s="1825"/>
      <c r="M92" s="1825"/>
      <c r="N92" s="1825"/>
      <c r="O92" s="1826"/>
    </row>
    <row r="93" spans="1:15" s="719" customFormat="1" hidden="1" x14ac:dyDescent="0.2">
      <c r="I93" s="1827"/>
      <c r="J93" s="1827"/>
      <c r="K93" s="1827"/>
    </row>
    <row r="94" spans="1:15" s="719" customFormat="1" hidden="1" x14ac:dyDescent="0.2"/>
    <row r="95" spans="1:15" s="719" customFormat="1" hidden="1" x14ac:dyDescent="0.2">
      <c r="B95" s="82" t="s">
        <v>323</v>
      </c>
    </row>
    <row r="96" spans="1:15" s="719" customFormat="1" ht="27" hidden="1" customHeight="1" x14ac:dyDescent="0.2">
      <c r="B96" s="94" t="s">
        <v>22</v>
      </c>
      <c r="C96" s="1261" t="s">
        <v>324</v>
      </c>
      <c r="D96" s="74"/>
    </row>
    <row r="97" spans="1:15" s="719" customFormat="1" hidden="1" x14ac:dyDescent="0.2">
      <c r="B97" s="80" t="s">
        <v>325</v>
      </c>
      <c r="C97" s="75">
        <f>'7. Project Definition'!G169</f>
        <v>0</v>
      </c>
    </row>
    <row r="98" spans="1:15" s="719" customFormat="1" hidden="1" x14ac:dyDescent="0.2">
      <c r="B98" s="80" t="s">
        <v>29</v>
      </c>
      <c r="C98" s="75">
        <f>'7. Project Definition'!H169</f>
        <v>0</v>
      </c>
    </row>
    <row r="99" spans="1:15" s="719" customFormat="1" hidden="1" x14ac:dyDescent="0.2">
      <c r="B99" s="80" t="s">
        <v>30</v>
      </c>
      <c r="C99" s="75">
        <f>'7. Project Definition'!I169</f>
        <v>0</v>
      </c>
    </row>
    <row r="100" spans="1:15" s="719" customFormat="1" hidden="1" x14ac:dyDescent="0.2">
      <c r="B100" s="80" t="s">
        <v>31</v>
      </c>
      <c r="C100" s="75">
        <f>'7. Project Definition'!J169</f>
        <v>0</v>
      </c>
    </row>
    <row r="101" spans="1:15" s="719" customFormat="1" hidden="1" x14ac:dyDescent="0.2">
      <c r="B101" s="80" t="s">
        <v>32</v>
      </c>
      <c r="C101" s="75">
        <f>'7. Project Definition'!K169</f>
        <v>0</v>
      </c>
    </row>
    <row r="102" spans="1:15" s="719" customFormat="1" hidden="1" x14ac:dyDescent="0.2">
      <c r="B102" s="80" t="s">
        <v>33</v>
      </c>
      <c r="C102" s="75">
        <f>'7. Project Definition'!L169</f>
        <v>0</v>
      </c>
    </row>
    <row r="103" spans="1:15" s="719" customFormat="1" hidden="1" x14ac:dyDescent="0.2">
      <c r="B103" s="80" t="s">
        <v>8</v>
      </c>
      <c r="C103" s="75">
        <f>'7. Project Definition'!M169</f>
        <v>0</v>
      </c>
    </row>
    <row r="104" spans="1:15" s="719" customFormat="1" hidden="1" x14ac:dyDescent="0.2">
      <c r="B104" s="80" t="s">
        <v>9</v>
      </c>
      <c r="C104" s="75">
        <f>'7. Project Definition'!N169</f>
        <v>0</v>
      </c>
    </row>
    <row r="105" spans="1:15" s="719" customFormat="1" hidden="1" x14ac:dyDescent="0.2">
      <c r="B105" s="80" t="s">
        <v>0</v>
      </c>
      <c r="C105" s="75">
        <f>'7. Project Definition'!O169</f>
        <v>0</v>
      </c>
    </row>
    <row r="106" spans="1:15" s="719" customFormat="1" hidden="1" x14ac:dyDescent="0.2">
      <c r="B106" s="80" t="s">
        <v>2</v>
      </c>
      <c r="C106" s="75">
        <f>'7. Project Definition'!P169</f>
        <v>0</v>
      </c>
    </row>
    <row r="107" spans="1:15" s="719" customFormat="1" hidden="1" x14ac:dyDescent="0.2">
      <c r="B107" s="80" t="s">
        <v>3</v>
      </c>
      <c r="C107" s="75">
        <f>'7. Project Definition'!Q169</f>
        <v>0</v>
      </c>
    </row>
    <row r="108" spans="1:15" s="719" customFormat="1" hidden="1" x14ac:dyDescent="0.2">
      <c r="B108" s="80" t="s">
        <v>4</v>
      </c>
      <c r="C108" s="75">
        <f>'7. Project Definition'!R169</f>
        <v>0</v>
      </c>
    </row>
    <row r="109" spans="1:15" s="719" customFormat="1" hidden="1" x14ac:dyDescent="0.2">
      <c r="B109" s="81" t="s">
        <v>19</v>
      </c>
      <c r="C109" s="75">
        <f>SUM(C97:C108)</f>
        <v>0</v>
      </c>
    </row>
    <row r="110" spans="1:15" s="719" customFormat="1" hidden="1" x14ac:dyDescent="0.2"/>
    <row r="111" spans="1:15" s="719" customFormat="1" ht="4.5" hidden="1" customHeight="1" x14ac:dyDescent="0.2">
      <c r="A111" s="99"/>
      <c r="B111" s="100"/>
      <c r="C111" s="99"/>
      <c r="D111" s="99"/>
      <c r="E111" s="99"/>
      <c r="F111" s="99"/>
      <c r="G111" s="99"/>
      <c r="H111" s="99"/>
      <c r="I111" s="99"/>
      <c r="J111" s="99"/>
      <c r="K111" s="99"/>
      <c r="L111" s="99"/>
      <c r="M111" s="99"/>
      <c r="N111" s="99"/>
      <c r="O111" s="99"/>
    </row>
    <row r="112" spans="1:15" s="719" customFormat="1" ht="15" hidden="1" x14ac:dyDescent="0.2">
      <c r="A112" s="207" t="s">
        <v>335</v>
      </c>
    </row>
    <row r="113" spans="1:15" s="719" customFormat="1" ht="15.75" hidden="1" thickBot="1" x14ac:dyDescent="0.25">
      <c r="A113" s="207"/>
    </row>
    <row r="114" spans="1:15" s="719" customFormat="1" ht="13.5" hidden="1" thickBot="1" x14ac:dyDescent="0.25">
      <c r="B114" s="87" t="s">
        <v>337</v>
      </c>
      <c r="C114" s="9"/>
      <c r="D114" s="9"/>
      <c r="E114" s="10"/>
      <c r="F114" s="205"/>
      <c r="G114" s="205"/>
    </row>
    <row r="115" spans="1:15" s="719" customFormat="1" ht="60" hidden="1" customHeight="1" x14ac:dyDescent="0.2">
      <c r="B115" s="4"/>
      <c r="C115" s="9"/>
      <c r="D115" s="105" t="s">
        <v>332</v>
      </c>
      <c r="E115" s="106" t="s">
        <v>265</v>
      </c>
      <c r="F115" s="205"/>
      <c r="G115" s="101"/>
    </row>
    <row r="116" spans="1:15" s="719" customFormat="1" ht="28.5" hidden="1" customHeight="1" thickBot="1" x14ac:dyDescent="0.25">
      <c r="B116" s="1820" t="s">
        <v>336</v>
      </c>
      <c r="C116" s="1821"/>
      <c r="D116" s="103">
        <f>'7. Project Definition'!C146</f>
        <v>0</v>
      </c>
      <c r="E116" s="104">
        <f>'7. Project Definition'!C148</f>
        <v>0</v>
      </c>
      <c r="F116" s="205"/>
      <c r="G116" s="102"/>
    </row>
    <row r="117" spans="1:15" s="719" customFormat="1" hidden="1" x14ac:dyDescent="0.2">
      <c r="B117" s="205"/>
      <c r="C117" s="205"/>
      <c r="D117" s="205"/>
      <c r="E117" s="205"/>
      <c r="F117" s="205"/>
      <c r="G117" s="205"/>
    </row>
    <row r="118" spans="1:15" s="719" customFormat="1" ht="4.5" hidden="1" customHeight="1" x14ac:dyDescent="0.2">
      <c r="A118" s="99"/>
      <c r="B118" s="100"/>
      <c r="C118" s="99"/>
      <c r="D118" s="99"/>
      <c r="E118" s="99"/>
      <c r="F118" s="99"/>
      <c r="G118" s="99"/>
      <c r="H118" s="99"/>
      <c r="I118" s="99"/>
      <c r="J118" s="99"/>
      <c r="K118" s="99"/>
      <c r="L118" s="99"/>
      <c r="M118" s="99"/>
      <c r="N118" s="99"/>
      <c r="O118" s="99"/>
    </row>
    <row r="119" spans="1:15" s="719" customFormat="1" hidden="1" x14ac:dyDescent="0.2">
      <c r="B119" s="205"/>
      <c r="C119" s="205"/>
      <c r="D119" s="205"/>
      <c r="E119" s="205"/>
      <c r="F119" s="205"/>
      <c r="G119" s="205"/>
    </row>
    <row r="120" spans="1:15" s="719" customFormat="1" hidden="1" x14ac:dyDescent="0.2">
      <c r="B120" s="205"/>
      <c r="C120" s="205"/>
      <c r="D120" s="205"/>
      <c r="E120" s="205"/>
      <c r="F120" s="205"/>
      <c r="G120" s="205"/>
    </row>
    <row r="121" spans="1:15" s="719" customFormat="1" x14ac:dyDescent="0.2">
      <c r="B121" s="205"/>
      <c r="C121" s="205"/>
      <c r="D121" s="205"/>
      <c r="E121" s="205"/>
      <c r="F121" s="205"/>
      <c r="G121" s="205"/>
    </row>
    <row r="122" spans="1:15" s="719" customFormat="1" x14ac:dyDescent="0.2">
      <c r="B122" s="205"/>
      <c r="C122" s="205"/>
      <c r="D122" s="205"/>
      <c r="E122" s="205"/>
      <c r="F122" s="205"/>
      <c r="G122" s="205"/>
    </row>
    <row r="123" spans="1:15" s="719" customFormat="1" x14ac:dyDescent="0.2"/>
    <row r="124" spans="1:15" s="719" customFormat="1" x14ac:dyDescent="0.2"/>
    <row r="125" spans="1:15" s="719" customFormat="1" x14ac:dyDescent="0.2"/>
    <row r="126" spans="1:15" s="719" customFormat="1" x14ac:dyDescent="0.2"/>
    <row r="127" spans="1:15" s="719" customFormat="1" x14ac:dyDescent="0.2"/>
    <row r="128" spans="1:15" s="719" customFormat="1" x14ac:dyDescent="0.2"/>
    <row r="129" s="719" customFormat="1" x14ac:dyDescent="0.2"/>
    <row r="130" s="719" customFormat="1" x14ac:dyDescent="0.2"/>
    <row r="131" s="719" customFormat="1" x14ac:dyDescent="0.2"/>
    <row r="132" s="719" customFormat="1" x14ac:dyDescent="0.2"/>
    <row r="133" s="719" customFormat="1" x14ac:dyDescent="0.2"/>
    <row r="134" s="719" customFormat="1" x14ac:dyDescent="0.2"/>
    <row r="135" s="719" customFormat="1" x14ac:dyDescent="0.2"/>
    <row r="136" s="719" customFormat="1" x14ac:dyDescent="0.2"/>
    <row r="137" s="719" customFormat="1" x14ac:dyDescent="0.2"/>
    <row r="138" s="719" customFormat="1" x14ac:dyDescent="0.2"/>
    <row r="139" s="719" customFormat="1" x14ac:dyDescent="0.2"/>
    <row r="140" s="719" customFormat="1" x14ac:dyDescent="0.2"/>
    <row r="141" s="719" customFormat="1" x14ac:dyDescent="0.2"/>
    <row r="142" s="719" customFormat="1" x14ac:dyDescent="0.2"/>
    <row r="143" s="719" customFormat="1" x14ac:dyDescent="0.2"/>
    <row r="144" s="719" customFormat="1" x14ac:dyDescent="0.2"/>
    <row r="145" s="719" customFormat="1" x14ac:dyDescent="0.2"/>
  </sheetData>
  <sheetProtection algorithmName="SHA-512" hashValue="iBhXke8tzvTixwanPuYm6X4GbgDsdjDPVzNQuGLFjufXllM2bSIxLeiij8MZtVuPP61JfTxHMVNFZg9s3A6dkw==" saltValue="pnkDXwcx7DCL0eBG+EKrtA==" spinCount="100000" sheet="1" objects="1" scenarios="1" selectLockedCells="1"/>
  <customSheetViews>
    <customSheetView guid="{27ECCA9D-8222-4026-A3C8-C768CAE028E0}" scale="90" showGridLines="0" fitToPage="1" hiddenRows="1" hiddenColumns="1" topLeftCell="A4">
      <selection activeCell="G39" sqref="G39"/>
      <rowBreaks count="1" manualBreakCount="1">
        <brk id="39" max="10" man="1"/>
      </rowBreaks>
      <pageMargins left="0.25" right="0.25" top="0.75" bottom="0.75" header="0.3" footer="0.3"/>
      <pageSetup scale="50" orientation="portrait" r:id="rId1"/>
      <headerFooter>
        <oddFooter>&amp;LApril 2014&amp;C&amp;A&amp;RPage &amp;P of &amp;N</oddFooter>
      </headerFooter>
    </customSheetView>
    <customSheetView guid="{D635BEAF-4410-44C3-8109-399BEE34BBD8}" scale="90" showGridLines="0" fitToPage="1" hiddenRows="1" hiddenColumns="1">
      <selection activeCell="C11" sqref="C11"/>
      <rowBreaks count="1" manualBreakCount="1">
        <brk id="38" max="10" man="1"/>
      </rowBreaks>
      <pageMargins left="0.25" right="0.25" top="0.75" bottom="0.75" header="0.3" footer="0.3"/>
      <pageSetup scale="51" orientation="portrait" r:id="rId2"/>
      <headerFooter>
        <oddFooter>&amp;LApril 2014&amp;C&amp;A&amp;RPage &amp;P of &amp;N</oddFooter>
      </headerFooter>
    </customSheetView>
  </customSheetViews>
  <mergeCells count="31">
    <mergeCell ref="B16:K16"/>
    <mergeCell ref="D85:F85"/>
    <mergeCell ref="I85:K85"/>
    <mergeCell ref="I75:K75"/>
    <mergeCell ref="I76:K76"/>
    <mergeCell ref="I77:K77"/>
    <mergeCell ref="I78:K78"/>
    <mergeCell ref="I79:K79"/>
    <mergeCell ref="M85:N85"/>
    <mergeCell ref="I92:O92"/>
    <mergeCell ref="I93:K93"/>
    <mergeCell ref="M88:N88"/>
    <mergeCell ref="M86:N86"/>
    <mergeCell ref="M87:N87"/>
    <mergeCell ref="M89:N89"/>
    <mergeCell ref="M91:N91"/>
    <mergeCell ref="I91:K91"/>
    <mergeCell ref="M90:N90"/>
    <mergeCell ref="B92:G92"/>
    <mergeCell ref="D90:F90"/>
    <mergeCell ref="D91:F91"/>
    <mergeCell ref="B116:C116"/>
    <mergeCell ref="I90:K90"/>
    <mergeCell ref="D86:F86"/>
    <mergeCell ref="D87:F87"/>
    <mergeCell ref="D88:F88"/>
    <mergeCell ref="D89:F89"/>
    <mergeCell ref="I86:K86"/>
    <mergeCell ref="I87:K87"/>
    <mergeCell ref="I88:K88"/>
    <mergeCell ref="I89:K89"/>
  </mergeCells>
  <hyperlinks>
    <hyperlink ref="G86" location="'7. Project Definition'!C49" display="update"/>
    <hyperlink ref="O66" location="'1. Building Information'!C21" display="update"/>
    <hyperlink ref="O67" location="'1. Building Information'!C23" display="update"/>
    <hyperlink ref="G87" location="'7. Project Definition'!C50" display="update"/>
    <hyperlink ref="O75" location="'1. Building Information'!C100" display="update"/>
    <hyperlink ref="O76" location="'1. Building Information'!C105" display="update"/>
    <hyperlink ref="O77" location="'1. Building Information'!C111" display="update"/>
    <hyperlink ref="O78" location="'1. Building Information'!C122" display="update"/>
    <hyperlink ref="O79" location="'4. Outdoor Water Demand'!D95" display="source"/>
    <hyperlink ref="G88" location="'7. Project Definition'!C40" display="update"/>
    <hyperlink ref="G89" location="'7. Project Definition'!C42" display="update"/>
    <hyperlink ref="G90" location="'7. Project Definition'!C41" display="update"/>
    <hyperlink ref="O86" location="'7. Project Definition'!C16" display="update"/>
    <hyperlink ref="O87" location="'7. Project Definition'!C28" display="update"/>
    <hyperlink ref="O88" location="'7. Project Definition'!C29" display="update"/>
    <hyperlink ref="O89" location="'7. Project Definition'!C21" display="update"/>
    <hyperlink ref="O90" location="'7. Project Definition'!C25" display="update"/>
    <hyperlink ref="F78" location="'1. Building Information'!D90" display="update"/>
    <hyperlink ref="F77" location="'1. Building Information'!C27" display="update"/>
    <hyperlink ref="F76" location="'1. Building Information'!C29" display="update"/>
    <hyperlink ref="F75" location="'1. Building Information'!C37" display="update"/>
    <hyperlink ref="F70" location="'1. Building Information'!C19" display="update"/>
    <hyperlink ref="F67" location="'1. Building Information'!C15" display="update here"/>
    <hyperlink ref="F66" location="'1. Building Information'!C13" display="update here"/>
  </hyperlinks>
  <pageMargins left="0.25" right="0.25" top="0.75" bottom="0.75" header="0.3" footer="0.3"/>
  <pageSetup scale="50" orientation="portrait" r:id="rId3"/>
  <headerFooter>
    <oddFooter>&amp;LApril 2014&amp;C&amp;A&amp;RPage &amp;P of &amp;N</oddFooter>
  </headerFooter>
  <rowBreaks count="1" manualBreakCount="1">
    <brk id="39" max="10" man="1"/>
  </rowBreaks>
  <drawing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3"/>
  <sheetViews>
    <sheetView showGridLines="0" zoomScale="90" zoomScaleNormal="90" zoomScaleSheetLayoutView="100" workbookViewId="0">
      <selection sqref="A1:XFD53"/>
    </sheetView>
  </sheetViews>
  <sheetFormatPr defaultRowHeight="12.75" x14ac:dyDescent="0.2"/>
  <cols>
    <col min="1" max="1" width="11.7109375" customWidth="1"/>
    <col min="2" max="2" width="12.5703125" customWidth="1"/>
    <col min="3" max="3" width="12.140625" customWidth="1"/>
    <col min="13" max="13" width="4.42578125" customWidth="1"/>
  </cols>
  <sheetData>
    <row r="1" spans="1:13" s="52" customFormat="1" ht="26.25" x14ac:dyDescent="0.4">
      <c r="A1" s="1246" t="s">
        <v>751</v>
      </c>
      <c r="B1" s="1247"/>
      <c r="C1" s="1248"/>
      <c r="D1" s="1248"/>
      <c r="E1" s="1248"/>
      <c r="F1" s="1248"/>
      <c r="G1" s="1248"/>
      <c r="H1" s="1248"/>
      <c r="I1" s="1248"/>
      <c r="J1" s="1247"/>
      <c r="K1" s="1247"/>
      <c r="L1" s="1248"/>
      <c r="M1" s="1249"/>
    </row>
    <row r="2" spans="1:13" s="719" customFormat="1" x14ac:dyDescent="0.2">
      <c r="A2" s="26"/>
      <c r="B2" s="205"/>
      <c r="C2" s="205"/>
      <c r="D2" s="205"/>
      <c r="E2" s="205"/>
      <c r="F2" s="205"/>
      <c r="G2" s="205"/>
      <c r="H2" s="205"/>
      <c r="I2" s="205"/>
      <c r="J2" s="205"/>
      <c r="K2" s="205"/>
      <c r="L2" s="205"/>
      <c r="M2" s="27"/>
    </row>
    <row r="3" spans="1:13" s="719" customFormat="1" x14ac:dyDescent="0.2">
      <c r="A3" s="26"/>
      <c r="B3" s="205"/>
      <c r="C3" s="205"/>
      <c r="D3" s="205"/>
      <c r="E3" s="205"/>
      <c r="F3" s="205"/>
      <c r="G3" s="205"/>
      <c r="H3" s="205"/>
      <c r="I3" s="205"/>
      <c r="J3" s="205"/>
      <c r="K3" s="205"/>
      <c r="L3" s="205"/>
      <c r="M3" s="27"/>
    </row>
    <row r="4" spans="1:13" s="719" customFormat="1" ht="15" x14ac:dyDescent="0.25">
      <c r="A4" s="883">
        <f ca="1">TODAY()</f>
        <v>42695</v>
      </c>
      <c r="B4" s="687"/>
      <c r="C4" s="687"/>
      <c r="D4" s="687"/>
      <c r="E4" s="687"/>
      <c r="F4" s="687"/>
      <c r="G4" s="687"/>
      <c r="H4" s="687"/>
      <c r="I4" s="687"/>
      <c r="J4" s="687"/>
      <c r="K4" s="687"/>
      <c r="L4" s="687"/>
      <c r="M4" s="688"/>
    </row>
    <row r="5" spans="1:13" s="719" customFormat="1" ht="14.25" x14ac:dyDescent="0.2">
      <c r="A5" s="689"/>
      <c r="B5" s="687"/>
      <c r="C5" s="687"/>
      <c r="D5" s="687"/>
      <c r="E5" s="687"/>
      <c r="F5" s="687"/>
      <c r="G5" s="687"/>
      <c r="H5" s="687"/>
      <c r="I5" s="687"/>
      <c r="J5" s="687"/>
      <c r="K5" s="687"/>
      <c r="L5" s="687"/>
      <c r="M5" s="688"/>
    </row>
    <row r="6" spans="1:13" s="719" customFormat="1" ht="14.25" x14ac:dyDescent="0.2">
      <c r="A6" s="689"/>
      <c r="B6" s="687"/>
      <c r="C6" s="687"/>
      <c r="D6" s="687"/>
      <c r="E6" s="687"/>
      <c r="F6" s="687"/>
      <c r="G6" s="687"/>
      <c r="H6" s="687"/>
      <c r="I6" s="687"/>
      <c r="J6" s="687"/>
      <c r="K6" s="687"/>
      <c r="L6" s="687"/>
      <c r="M6" s="688"/>
    </row>
    <row r="7" spans="1:13" s="719" customFormat="1" ht="15" x14ac:dyDescent="0.25">
      <c r="A7" s="690" t="s">
        <v>799</v>
      </c>
      <c r="B7" s="687"/>
      <c r="C7" s="687"/>
      <c r="D7" s="687"/>
      <c r="E7" s="687"/>
      <c r="F7" s="687"/>
      <c r="G7" s="687"/>
      <c r="H7" s="687"/>
      <c r="I7" s="687"/>
      <c r="J7" s="687"/>
      <c r="K7" s="687"/>
      <c r="L7" s="687"/>
      <c r="M7" s="688"/>
    </row>
    <row r="8" spans="1:13" s="719" customFormat="1" ht="15" x14ac:dyDescent="0.25">
      <c r="A8" s="690" t="s">
        <v>800</v>
      </c>
      <c r="B8" s="687"/>
      <c r="C8" s="687"/>
      <c r="D8" s="687"/>
      <c r="E8" s="687"/>
      <c r="F8" s="687"/>
      <c r="G8" s="687"/>
      <c r="H8" s="687"/>
      <c r="I8" s="687"/>
      <c r="J8" s="687"/>
      <c r="K8" s="687"/>
      <c r="L8" s="687"/>
      <c r="M8" s="688"/>
    </row>
    <row r="9" spans="1:13" s="719" customFormat="1" ht="15" x14ac:dyDescent="0.25">
      <c r="A9" s="690" t="s">
        <v>801</v>
      </c>
      <c r="B9" s="687"/>
      <c r="C9" s="687"/>
      <c r="D9" s="687"/>
      <c r="E9" s="687"/>
      <c r="F9" s="687"/>
      <c r="G9" s="687"/>
      <c r="H9" s="687"/>
      <c r="I9" s="687"/>
      <c r="J9" s="687"/>
      <c r="K9" s="687"/>
      <c r="L9" s="687"/>
      <c r="M9" s="688"/>
    </row>
    <row r="10" spans="1:13" s="719" customFormat="1" ht="15" x14ac:dyDescent="0.25">
      <c r="A10" s="690" t="s">
        <v>802</v>
      </c>
      <c r="B10" s="687"/>
      <c r="C10" s="687"/>
      <c r="D10" s="687"/>
      <c r="E10" s="687"/>
      <c r="F10" s="687"/>
      <c r="G10" s="687"/>
      <c r="H10" s="687"/>
      <c r="I10" s="687"/>
      <c r="J10" s="687"/>
      <c r="K10" s="687"/>
      <c r="L10" s="687"/>
      <c r="M10" s="688"/>
    </row>
    <row r="11" spans="1:13" s="719" customFormat="1" ht="15" x14ac:dyDescent="0.25">
      <c r="A11" s="690" t="s">
        <v>803</v>
      </c>
      <c r="B11" s="687"/>
      <c r="C11" s="687"/>
      <c r="D11" s="687"/>
      <c r="E11" s="687"/>
      <c r="F11" s="687"/>
      <c r="G11" s="687"/>
      <c r="H11" s="687"/>
      <c r="I11" s="687"/>
      <c r="J11" s="687"/>
      <c r="K11" s="687"/>
      <c r="L11" s="687"/>
      <c r="M11" s="688"/>
    </row>
    <row r="12" spans="1:13" s="719" customFormat="1" ht="15" x14ac:dyDescent="0.25">
      <c r="A12" s="690"/>
      <c r="B12" s="687"/>
      <c r="C12" s="687"/>
      <c r="D12" s="687"/>
      <c r="E12" s="687"/>
      <c r="F12" s="687"/>
      <c r="G12" s="687"/>
      <c r="H12" s="687"/>
      <c r="I12" s="687"/>
      <c r="J12" s="687"/>
      <c r="K12" s="687"/>
      <c r="L12" s="687"/>
      <c r="M12" s="688"/>
    </row>
    <row r="13" spans="1:13" s="719" customFormat="1" ht="15" x14ac:dyDescent="0.25">
      <c r="A13" s="690"/>
      <c r="B13" s="687"/>
      <c r="C13" s="687"/>
      <c r="D13" s="687"/>
      <c r="E13" s="687"/>
      <c r="F13" s="687"/>
      <c r="G13" s="687"/>
      <c r="H13" s="687"/>
      <c r="I13" s="687"/>
      <c r="J13" s="687"/>
      <c r="K13" s="687"/>
      <c r="L13" s="687"/>
      <c r="M13" s="688"/>
    </row>
    <row r="14" spans="1:13" s="719" customFormat="1" ht="15" x14ac:dyDescent="0.25">
      <c r="A14" s="690" t="s">
        <v>752</v>
      </c>
      <c r="B14" s="182" t="s">
        <v>804</v>
      </c>
      <c r="C14" s="182"/>
      <c r="D14" s="182"/>
      <c r="E14" s="182"/>
      <c r="F14" s="182"/>
      <c r="G14" s="182"/>
      <c r="H14" s="182"/>
      <c r="I14" s="182"/>
      <c r="J14" s="182"/>
      <c r="K14" s="182"/>
      <c r="L14" s="182"/>
      <c r="M14" s="691"/>
    </row>
    <row r="15" spans="1:13" s="719" customFormat="1" ht="15" x14ac:dyDescent="0.25">
      <c r="A15" s="690"/>
      <c r="B15" s="182"/>
      <c r="C15" s="182"/>
      <c r="D15" s="182"/>
      <c r="E15" s="182"/>
      <c r="F15" s="182"/>
      <c r="G15" s="182"/>
      <c r="H15" s="182"/>
      <c r="I15" s="182"/>
      <c r="J15" s="182"/>
      <c r="K15" s="182"/>
      <c r="L15" s="182"/>
      <c r="M15" s="691"/>
    </row>
    <row r="16" spans="1:13" s="719" customFormat="1" ht="15" x14ac:dyDescent="0.25">
      <c r="A16" s="690"/>
      <c r="B16" s="182"/>
      <c r="C16" s="182"/>
      <c r="D16" s="182"/>
      <c r="E16" s="182"/>
      <c r="F16" s="182"/>
      <c r="G16" s="182"/>
      <c r="H16" s="182"/>
      <c r="I16" s="182"/>
      <c r="J16" s="182"/>
      <c r="K16" s="182"/>
      <c r="L16" s="182"/>
      <c r="M16" s="691"/>
    </row>
    <row r="17" spans="1:13" s="719" customFormat="1" ht="15" x14ac:dyDescent="0.25">
      <c r="A17" s="690"/>
      <c r="B17" s="182"/>
      <c r="C17" s="182"/>
      <c r="D17" s="182"/>
      <c r="E17" s="182"/>
      <c r="F17" s="182"/>
      <c r="G17" s="182"/>
      <c r="H17" s="182"/>
      <c r="I17" s="182"/>
      <c r="J17" s="182"/>
      <c r="K17" s="182"/>
      <c r="L17" s="182"/>
      <c r="M17" s="691"/>
    </row>
    <row r="18" spans="1:13" s="719" customFormat="1" ht="15" x14ac:dyDescent="0.25">
      <c r="A18" s="690" t="s">
        <v>749</v>
      </c>
      <c r="B18" s="182"/>
      <c r="C18" s="182"/>
      <c r="D18" s="182"/>
      <c r="E18" s="182"/>
      <c r="F18" s="182"/>
      <c r="G18" s="182"/>
      <c r="H18" s="182"/>
      <c r="I18" s="182"/>
      <c r="J18" s="182"/>
      <c r="K18" s="182"/>
      <c r="L18" s="182"/>
      <c r="M18" s="691"/>
    </row>
    <row r="19" spans="1:13" s="719" customFormat="1" ht="15" x14ac:dyDescent="0.25">
      <c r="A19" s="690"/>
      <c r="B19" s="182"/>
      <c r="C19" s="182"/>
      <c r="D19" s="182"/>
      <c r="E19" s="182"/>
      <c r="F19" s="182"/>
      <c r="G19" s="182"/>
      <c r="H19" s="182"/>
      <c r="I19" s="182"/>
      <c r="J19" s="182"/>
      <c r="K19" s="182"/>
      <c r="L19" s="182"/>
      <c r="M19" s="691"/>
    </row>
    <row r="20" spans="1:13" s="719" customFormat="1" ht="32.25" customHeight="1" x14ac:dyDescent="0.25">
      <c r="A20" s="1837" t="str">
        <f>CONCATENATE("This letter confirms that the alternate water supplies project located at ",'8. Printable Project Summary'!C21," with total gross square area of ",TEXT('8. Printable Project Summary'!H21,"###,###,###")," square feet qualifies as a:")</f>
        <v>This letter confirms that the alternate water supplies project located at Project Address with total gross square area of  square feet qualifies as a:</v>
      </c>
      <c r="B20" s="1838"/>
      <c r="C20" s="1838"/>
      <c r="D20" s="1838"/>
      <c r="E20" s="1838"/>
      <c r="F20" s="1838"/>
      <c r="G20" s="1838"/>
      <c r="H20" s="1838"/>
      <c r="I20" s="1838"/>
      <c r="J20" s="1838"/>
      <c r="K20" s="1838"/>
      <c r="L20" s="1838"/>
      <c r="M20" s="1839"/>
    </row>
    <row r="21" spans="1:13" s="719" customFormat="1" ht="15" x14ac:dyDescent="0.25">
      <c r="A21" s="692" t="s">
        <v>750</v>
      </c>
      <c r="B21" s="882" t="str">
        <f>IF('8. Printable Project Summary'!D11&gt;2000000,"This building qualifies for a single-building grant.","This building does not meet the minimum requirements for a single-building grant.")</f>
        <v>This building does not meet the minimum requirements for a single-building grant.</v>
      </c>
      <c r="C21" s="718"/>
      <c r="D21" s="718"/>
      <c r="E21" s="718"/>
      <c r="F21" s="718"/>
      <c r="G21" s="718"/>
      <c r="H21" s="718"/>
      <c r="I21" s="182"/>
      <c r="J21" s="182"/>
      <c r="K21" s="182"/>
      <c r="L21" s="182"/>
      <c r="M21" s="691"/>
    </row>
    <row r="22" spans="1:13" s="719" customFormat="1" ht="15" x14ac:dyDescent="0.25">
      <c r="A22" s="692" t="s">
        <v>750</v>
      </c>
      <c r="B22" s="182" t="str">
        <f>"Will have a site/building permit issued by "&amp;TEXT('8. Printable Project Summary'!H4,"mm/dd/yyyy")</f>
        <v>Will have a site/building permit issued by 01/01/2017</v>
      </c>
      <c r="C22" s="182"/>
      <c r="D22" s="182"/>
      <c r="E22" s="182"/>
      <c r="F22" s="182"/>
      <c r="G22" s="182"/>
      <c r="H22" s="182"/>
      <c r="I22" s="182"/>
      <c r="J22" s="182"/>
      <c r="K22" s="182"/>
      <c r="L22" s="182"/>
      <c r="M22" s="691"/>
    </row>
    <row r="23" spans="1:13" s="719" customFormat="1" ht="27" customHeight="1" x14ac:dyDescent="0.25">
      <c r="A23" s="1837" t="str">
        <f>IF('8. Printable Project Summary'!D11&lt;11860000,"This project does not achieve the required water savings.  For reference, this project has the following estimated demands:","Based on information in the Non-potable calculator, the site has the following demands:")</f>
        <v>This project does not achieve the required water savings.  For reference, this project has the following estimated demands:</v>
      </c>
      <c r="B23" s="1838"/>
      <c r="C23" s="1838"/>
      <c r="D23" s="1838"/>
      <c r="E23" s="1838"/>
      <c r="F23" s="1838"/>
      <c r="G23" s="1838"/>
      <c r="H23" s="1838"/>
      <c r="I23" s="1838"/>
      <c r="J23" s="1838"/>
      <c r="K23" s="1838"/>
      <c r="L23" s="1838"/>
      <c r="M23" s="691"/>
    </row>
    <row r="24" spans="1:13" s="719" customFormat="1" ht="15" x14ac:dyDescent="0.25">
      <c r="A24" s="692" t="s">
        <v>750</v>
      </c>
      <c r="B24" s="694">
        <f>'8. Printable Project Summary'!D13</f>
        <v>0</v>
      </c>
      <c r="C24" s="695" t="s">
        <v>805</v>
      </c>
      <c r="D24" s="182"/>
      <c r="E24" s="182"/>
      <c r="F24" s="182"/>
      <c r="G24" s="182"/>
      <c r="H24" s="182"/>
      <c r="I24" s="182"/>
      <c r="J24" s="182"/>
      <c r="K24" s="182"/>
      <c r="L24" s="182"/>
      <c r="M24" s="691"/>
    </row>
    <row r="25" spans="1:13" s="719" customFormat="1" ht="15" x14ac:dyDescent="0.25">
      <c r="A25" s="690"/>
      <c r="B25" s="696"/>
      <c r="C25" s="182"/>
      <c r="D25" s="182"/>
      <c r="E25" s="182"/>
      <c r="F25" s="182"/>
      <c r="G25" s="182"/>
      <c r="H25" s="182"/>
      <c r="I25" s="182"/>
      <c r="J25" s="182"/>
      <c r="K25" s="182"/>
      <c r="L25" s="182"/>
      <c r="M25" s="691"/>
    </row>
    <row r="26" spans="1:13" s="719" customFormat="1" ht="15" x14ac:dyDescent="0.25">
      <c r="A26" s="690" t="s">
        <v>753</v>
      </c>
      <c r="B26" s="696"/>
      <c r="C26" s="182"/>
      <c r="D26" s="182"/>
      <c r="E26" s="182"/>
      <c r="F26" s="182"/>
      <c r="G26" s="182"/>
      <c r="H26" s="182"/>
      <c r="I26" s="182"/>
      <c r="J26" s="182"/>
      <c r="K26" s="182"/>
      <c r="L26" s="182"/>
      <c r="M26" s="691"/>
    </row>
    <row r="27" spans="1:13" s="719" customFormat="1" ht="15" x14ac:dyDescent="0.25">
      <c r="A27" s="692" t="s">
        <v>750</v>
      </c>
      <c r="B27" s="693">
        <f>'7. Project Definition'!F133</f>
        <v>0</v>
      </c>
      <c r="C27" s="182" t="s">
        <v>754</v>
      </c>
      <c r="D27" s="182"/>
      <c r="E27" s="182"/>
      <c r="F27" s="182"/>
      <c r="G27" s="182"/>
      <c r="H27" s="182"/>
      <c r="I27" s="182"/>
      <c r="J27" s="182"/>
      <c r="K27" s="182"/>
      <c r="L27" s="182"/>
      <c r="M27" s="691"/>
    </row>
    <row r="28" spans="1:13" s="719" customFormat="1" ht="15" x14ac:dyDescent="0.25">
      <c r="A28" s="692" t="s">
        <v>750</v>
      </c>
      <c r="B28" s="693">
        <f>'7. Project Definition'!F118</f>
        <v>0</v>
      </c>
      <c r="C28" s="182" t="str">
        <f>IF(OR('7. Project Definition'!C117="Neither",'7. Project Definition'!C117="Graywater"),"gallons per year of estimated graywater supplies","gallons per year of estimated blackwater supplies")</f>
        <v>gallons per year of estimated graywater supplies</v>
      </c>
      <c r="D28" s="182"/>
      <c r="E28" s="182"/>
      <c r="F28" s="182"/>
      <c r="G28" s="182"/>
      <c r="H28" s="182"/>
      <c r="I28" s="182"/>
      <c r="J28" s="182"/>
      <c r="K28" s="182"/>
      <c r="L28" s="182"/>
      <c r="M28" s="691"/>
    </row>
    <row r="29" spans="1:13" s="719" customFormat="1" ht="29.25" customHeight="1" x14ac:dyDescent="0.25">
      <c r="A29" s="697" t="s">
        <v>750</v>
      </c>
      <c r="B29" s="698">
        <f>SUM(B27:B28)</f>
        <v>0</v>
      </c>
      <c r="C29" s="1840" t="str">
        <f>CONCATENATE("gallons per year of total estimated non-potable reuse supplies out of maximum potential reuse supply of ",TEXT((SUM('6. Building Potential Summary'!D62,'6. Building Potential Summary'!D65:D65)),"##,###,###")," gallons per year (",IF(OR('7. Project Definition'!C117="Graywater",'7. Project Definition'!C117="Neither"),"excluding","including")," blackwater supplies)")</f>
        <v>gallons per year of total estimated non-potable reuse supplies out of maximum potential reuse supply of  gallons per year (excluding blackwater supplies)</v>
      </c>
      <c r="D29" s="1840"/>
      <c r="E29" s="1840"/>
      <c r="F29" s="1840"/>
      <c r="G29" s="1840"/>
      <c r="H29" s="1840"/>
      <c r="I29" s="1840"/>
      <c r="J29" s="1840"/>
      <c r="K29" s="1840"/>
      <c r="L29" s="1840"/>
      <c r="M29" s="1841"/>
    </row>
    <row r="30" spans="1:13" s="719" customFormat="1" ht="15" x14ac:dyDescent="0.25">
      <c r="A30" s="690"/>
      <c r="B30" s="182"/>
      <c r="C30" s="726" t="str">
        <f>IF(AND(B29&lt;B24,OR(Rainwater!C14="Undersized")),"Rainwater or Stormwater cistern(s) may be undersized; refer to [7.Project Definition] sheet","")</f>
        <v/>
      </c>
      <c r="D30" s="718"/>
      <c r="E30" s="718"/>
      <c r="F30" s="718"/>
      <c r="G30" s="718"/>
      <c r="H30" s="718"/>
      <c r="I30" s="182"/>
      <c r="J30" s="182"/>
      <c r="K30" s="182"/>
      <c r="L30" s="182"/>
      <c r="M30" s="691"/>
    </row>
    <row r="31" spans="1:13" s="719" customFormat="1" ht="15" x14ac:dyDescent="0.25">
      <c r="A31" s="699" t="s">
        <v>757</v>
      </c>
      <c r="B31" s="182"/>
      <c r="C31" s="700"/>
      <c r="D31" s="182"/>
      <c r="E31" s="182"/>
      <c r="F31" s="182"/>
      <c r="G31" s="182"/>
      <c r="H31" s="182"/>
      <c r="I31" s="182"/>
      <c r="J31" s="182"/>
      <c r="K31" s="182"/>
      <c r="L31" s="182"/>
      <c r="M31" s="691"/>
    </row>
    <row r="32" spans="1:13" s="719" customFormat="1" ht="15" x14ac:dyDescent="0.25">
      <c r="A32" s="690"/>
      <c r="B32" s="701" t="e">
        <f>IF(B29/B24&gt;1,1,B29/B24)</f>
        <v>#DIV/0!</v>
      </c>
      <c r="C32" s="182" t="s">
        <v>755</v>
      </c>
      <c r="D32" s="182"/>
      <c r="E32" s="182"/>
      <c r="F32" s="182"/>
      <c r="G32" s="182"/>
      <c r="H32" s="182"/>
      <c r="I32" s="182"/>
      <c r="J32" s="182"/>
      <c r="K32" s="182"/>
      <c r="L32" s="182"/>
      <c r="M32" s="691"/>
    </row>
    <row r="33" spans="1:13" s="719" customFormat="1" ht="15" x14ac:dyDescent="0.25">
      <c r="A33" s="690"/>
      <c r="B33" s="701" t="e">
        <f>IF(B29/(SUM('6. Building Potential Summary'!D62,'6. Building Potential Summary'!D65:D65))&gt;1,1,B29/(SUM('6. Building Potential Summary'!D62,'6. Building Potential Summary'!D65:D65)))</f>
        <v>#DIV/0!</v>
      </c>
      <c r="C33" s="182" t="s">
        <v>756</v>
      </c>
      <c r="D33" s="182"/>
      <c r="E33" s="182"/>
      <c r="F33" s="182"/>
      <c r="G33" s="182"/>
      <c r="H33" s="182"/>
      <c r="I33" s="182"/>
      <c r="J33" s="182"/>
      <c r="K33" s="182"/>
      <c r="L33" s="182"/>
      <c r="M33" s="691"/>
    </row>
    <row r="34" spans="1:13" s="719" customFormat="1" ht="15" x14ac:dyDescent="0.25">
      <c r="A34" s="690"/>
      <c r="B34" s="721">
        <f>'8. Printable Project Summary'!D12</f>
        <v>0</v>
      </c>
      <c r="C34" s="718" t="s">
        <v>778</v>
      </c>
      <c r="D34" s="718"/>
      <c r="E34" s="718"/>
      <c r="F34" s="182"/>
      <c r="G34" s="182"/>
      <c r="H34" s="182"/>
      <c r="I34" s="182"/>
      <c r="J34" s="182"/>
      <c r="K34" s="182"/>
      <c r="L34" s="182"/>
      <c r="M34" s="691"/>
    </row>
    <row r="35" spans="1:13" s="719" customFormat="1" ht="15" x14ac:dyDescent="0.25">
      <c r="A35" s="690"/>
      <c r="B35" s="720"/>
      <c r="C35" s="182"/>
      <c r="D35" s="182"/>
      <c r="E35" s="182"/>
      <c r="F35" s="182"/>
      <c r="G35" s="182"/>
      <c r="H35" s="182"/>
      <c r="I35" s="182"/>
      <c r="J35" s="182"/>
      <c r="K35" s="182"/>
      <c r="L35" s="182"/>
      <c r="M35" s="691"/>
    </row>
    <row r="36" spans="1:13" s="719" customFormat="1" ht="15" x14ac:dyDescent="0.25">
      <c r="A36" s="690" t="e">
        <f>IF(B32&gt;=1,"This project's alternate water supplies MEET estimated toilet/urinal and irrigation demand.","This project's alternate water supplies do not meet estimated toilet/urinal and irrigation demands.")</f>
        <v>#DIV/0!</v>
      </c>
      <c r="B36" s="182"/>
      <c r="C36" s="182"/>
      <c r="D36" s="182"/>
      <c r="E36" s="182"/>
      <c r="F36" s="182"/>
      <c r="G36" s="182"/>
      <c r="H36" s="182"/>
      <c r="I36" s="182"/>
      <c r="J36" s="182"/>
      <c r="K36" s="182"/>
      <c r="L36" s="182"/>
      <c r="M36" s="691"/>
    </row>
    <row r="37" spans="1:13" s="719" customFormat="1" ht="15" x14ac:dyDescent="0.25">
      <c r="A37" s="690" t="e">
        <f>IF(B33&gt;=1,"This project maximizes collection and reuse of available onsite rainwater, and graywater.","This project does not maximize collection and reuse of available onsite rainwater, and graywater.")</f>
        <v>#DIV/0!</v>
      </c>
      <c r="B37" s="182"/>
      <c r="C37" s="182"/>
      <c r="D37" s="182"/>
      <c r="E37" s="182"/>
      <c r="F37" s="182"/>
      <c r="G37" s="182"/>
      <c r="H37" s="182"/>
      <c r="I37" s="182"/>
      <c r="J37" s="182"/>
      <c r="K37" s="182"/>
      <c r="L37" s="182"/>
      <c r="M37" s="691"/>
    </row>
    <row r="38" spans="1:13" s="719" customFormat="1" ht="15" x14ac:dyDescent="0.25">
      <c r="A38" s="690"/>
      <c r="B38" s="182"/>
      <c r="C38" s="182"/>
      <c r="D38" s="182"/>
      <c r="E38" s="182"/>
      <c r="F38" s="182"/>
      <c r="G38" s="182"/>
      <c r="H38" s="182"/>
      <c r="I38" s="182"/>
      <c r="J38" s="182"/>
      <c r="K38" s="182"/>
      <c r="L38" s="182"/>
      <c r="M38" s="691"/>
    </row>
    <row r="39" spans="1:13" s="719" customFormat="1" ht="15" x14ac:dyDescent="0.25">
      <c r="A39" s="690"/>
      <c r="B39" s="182"/>
      <c r="C39" s="182"/>
      <c r="D39" s="182"/>
      <c r="E39" s="182"/>
      <c r="F39" s="182"/>
      <c r="G39" s="182"/>
      <c r="H39" s="182"/>
      <c r="I39" s="182"/>
      <c r="J39" s="182"/>
      <c r="K39" s="182"/>
      <c r="L39" s="182"/>
      <c r="M39" s="691"/>
    </row>
    <row r="40" spans="1:13" s="719" customFormat="1" ht="15" x14ac:dyDescent="0.25">
      <c r="A40" s="690" t="s">
        <v>758</v>
      </c>
      <c r="B40" s="182"/>
      <c r="C40" s="182"/>
      <c r="D40" s="182"/>
      <c r="E40" s="182"/>
      <c r="F40" s="182"/>
      <c r="G40" s="182"/>
      <c r="H40" s="182"/>
      <c r="I40" s="182"/>
      <c r="J40" s="182"/>
      <c r="K40" s="182"/>
      <c r="L40" s="182"/>
      <c r="M40" s="691"/>
    </row>
    <row r="41" spans="1:13" s="719" customFormat="1" ht="15" x14ac:dyDescent="0.25">
      <c r="A41" s="690"/>
      <c r="B41" s="182"/>
      <c r="C41" s="182"/>
      <c r="D41" s="182"/>
      <c r="E41" s="182"/>
      <c r="F41" s="182"/>
      <c r="G41" s="182"/>
      <c r="H41" s="182"/>
      <c r="I41" s="182"/>
      <c r="J41" s="182"/>
      <c r="K41" s="182"/>
      <c r="L41" s="182"/>
      <c r="M41" s="691"/>
    </row>
    <row r="42" spans="1:13" s="719" customFormat="1" ht="15" x14ac:dyDescent="0.25">
      <c r="A42" s="690" t="s">
        <v>759</v>
      </c>
      <c r="B42" s="182"/>
      <c r="C42" s="182"/>
      <c r="D42" s="182"/>
      <c r="E42" s="182"/>
      <c r="F42" s="182"/>
      <c r="G42" s="182"/>
      <c r="H42" s="182"/>
      <c r="I42" s="182"/>
      <c r="J42" s="182"/>
      <c r="K42" s="182"/>
      <c r="L42" s="182"/>
      <c r="M42" s="691"/>
    </row>
    <row r="43" spans="1:13" s="719" customFormat="1" ht="15" x14ac:dyDescent="0.25">
      <c r="A43" s="690"/>
      <c r="B43" s="182"/>
      <c r="C43" s="182"/>
      <c r="D43" s="182"/>
      <c r="E43" s="182"/>
      <c r="F43" s="182"/>
      <c r="G43" s="182"/>
      <c r="H43" s="182"/>
      <c r="I43" s="182"/>
      <c r="J43" s="182"/>
      <c r="K43" s="182"/>
      <c r="L43" s="182"/>
      <c r="M43" s="691"/>
    </row>
    <row r="44" spans="1:13" s="719" customFormat="1" ht="15" x14ac:dyDescent="0.25">
      <c r="A44" s="690"/>
      <c r="B44" s="182"/>
      <c r="C44" s="182"/>
      <c r="D44" s="182"/>
      <c r="E44" s="182"/>
      <c r="F44" s="182"/>
      <c r="G44" s="182"/>
      <c r="H44" s="182"/>
      <c r="I44" s="182"/>
      <c r="J44" s="182"/>
      <c r="K44" s="182"/>
      <c r="L44" s="182"/>
      <c r="M44" s="691"/>
    </row>
    <row r="45" spans="1:13" s="719" customFormat="1" ht="15" x14ac:dyDescent="0.25">
      <c r="A45" s="690"/>
      <c r="B45" s="182"/>
      <c r="C45" s="182"/>
      <c r="D45" s="182"/>
      <c r="E45" s="182"/>
      <c r="F45" s="182"/>
      <c r="G45" s="182"/>
      <c r="H45" s="182"/>
      <c r="I45" s="182"/>
      <c r="J45" s="182"/>
      <c r="K45" s="182"/>
      <c r="L45" s="182"/>
      <c r="M45" s="691"/>
    </row>
    <row r="46" spans="1:13" s="719" customFormat="1" ht="15" x14ac:dyDescent="0.25">
      <c r="A46" s="690"/>
      <c r="B46" s="182"/>
      <c r="C46" s="182"/>
      <c r="D46" s="182"/>
      <c r="E46" s="182"/>
      <c r="F46" s="182"/>
      <c r="G46" s="182"/>
      <c r="H46" s="182"/>
      <c r="I46" s="182"/>
      <c r="J46" s="182"/>
      <c r="K46" s="182"/>
      <c r="L46" s="182"/>
      <c r="M46" s="691"/>
    </row>
    <row r="47" spans="1:13" s="719" customFormat="1" ht="15" x14ac:dyDescent="0.25">
      <c r="A47" s="690" t="s">
        <v>878</v>
      </c>
      <c r="B47" s="182"/>
      <c r="C47" s="182"/>
      <c r="D47" s="182"/>
      <c r="E47" s="182"/>
      <c r="F47" s="182"/>
      <c r="G47" s="182"/>
      <c r="H47" s="182"/>
      <c r="I47" s="182"/>
      <c r="J47" s="182"/>
      <c r="K47" s="182"/>
      <c r="L47" s="182"/>
      <c r="M47" s="691"/>
    </row>
    <row r="48" spans="1:13" s="719" customFormat="1" ht="15" x14ac:dyDescent="0.25">
      <c r="A48" s="702" t="s">
        <v>840</v>
      </c>
      <c r="B48" s="182"/>
      <c r="C48" s="182"/>
      <c r="D48" s="182"/>
      <c r="E48" s="182"/>
      <c r="F48" s="182"/>
      <c r="G48" s="182"/>
      <c r="H48" s="182"/>
      <c r="I48" s="182"/>
      <c r="J48" s="182"/>
      <c r="K48" s="182"/>
      <c r="L48" s="182"/>
      <c r="M48" s="691"/>
    </row>
    <row r="49" spans="1:13" s="719" customFormat="1" ht="15" x14ac:dyDescent="0.25">
      <c r="A49" s="690" t="s">
        <v>800</v>
      </c>
      <c r="B49" s="182"/>
      <c r="C49" s="182"/>
      <c r="D49" s="182"/>
      <c r="E49" s="182"/>
      <c r="F49" s="182"/>
      <c r="G49" s="182"/>
      <c r="H49" s="182"/>
      <c r="I49" s="182"/>
      <c r="J49" s="182"/>
      <c r="K49" s="182"/>
      <c r="L49" s="182"/>
      <c r="M49" s="691"/>
    </row>
    <row r="50" spans="1:13" s="719" customFormat="1" ht="15" x14ac:dyDescent="0.25">
      <c r="A50" s="690" t="s">
        <v>801</v>
      </c>
      <c r="B50" s="182"/>
      <c r="C50" s="182"/>
      <c r="D50" s="182"/>
      <c r="E50" s="182"/>
      <c r="F50" s="182"/>
      <c r="G50" s="182"/>
      <c r="H50" s="182"/>
      <c r="I50" s="182"/>
      <c r="J50" s="182"/>
      <c r="K50" s="182"/>
      <c r="L50" s="182"/>
      <c r="M50" s="691"/>
    </row>
    <row r="51" spans="1:13" s="719" customFormat="1" x14ac:dyDescent="0.2">
      <c r="A51" s="26"/>
      <c r="B51" s="205"/>
      <c r="C51" s="205"/>
      <c r="D51" s="205"/>
      <c r="E51" s="205"/>
      <c r="F51" s="205"/>
      <c r="G51" s="205"/>
      <c r="H51" s="205"/>
      <c r="I51" s="205"/>
      <c r="J51" s="205"/>
      <c r="K51" s="205"/>
      <c r="L51" s="205"/>
      <c r="M51" s="27"/>
    </row>
    <row r="52" spans="1:13" s="719" customFormat="1" x14ac:dyDescent="0.2">
      <c r="A52" s="26"/>
      <c r="B52" s="205"/>
      <c r="C52" s="205"/>
      <c r="D52" s="205"/>
      <c r="E52" s="205"/>
      <c r="F52" s="205"/>
      <c r="G52" s="205"/>
      <c r="H52" s="205"/>
      <c r="I52" s="205"/>
      <c r="J52" s="205"/>
      <c r="K52" s="205"/>
      <c r="L52" s="205"/>
      <c r="M52" s="27"/>
    </row>
    <row r="53" spans="1:13" s="719" customFormat="1" ht="13.5" thickBot="1" x14ac:dyDescent="0.25">
      <c r="A53" s="6"/>
      <c r="B53" s="7"/>
      <c r="C53" s="7"/>
      <c r="D53" s="7"/>
      <c r="E53" s="7"/>
      <c r="F53" s="7"/>
      <c r="G53" s="7"/>
      <c r="H53" s="7"/>
      <c r="I53" s="7"/>
      <c r="J53" s="7"/>
      <c r="K53" s="7"/>
      <c r="L53" s="7"/>
      <c r="M53" s="8"/>
    </row>
  </sheetData>
  <sheetProtection algorithmName="SHA-512" hashValue="Zv5eGfMBLNHrZRjmfbhjr23dYVBkNNRGI1BF30Am74CNoQshesrTyIZg6X1iChdyt2rgDrycRHsyBG+hymoSoQ==" saltValue="q2Vm0SeUxjDepIBW9P/78A==" spinCount="100000" sheet="1" objects="1" scenarios="1" selectLockedCells="1"/>
  <customSheetViews>
    <customSheetView guid="{27ECCA9D-8222-4026-A3C8-C768CAE028E0}" scale="90" showGridLines="0" fitToPage="1" hiddenRows="1" state="hidden">
      <selection activeCell="P10" sqref="P10"/>
      <pageMargins left="0.7" right="0.7" top="0.75" bottom="0.75" header="0.3" footer="0.3"/>
      <pageSetup scale="76" orientation="portrait" r:id="rId1"/>
    </customSheetView>
    <customSheetView guid="{D635BEAF-4410-44C3-8109-399BEE34BBD8}" scale="90" showGridLines="0" fitToPage="1" hiddenRows="1" state="hidden">
      <selection activeCell="P5" sqref="P5"/>
      <pageMargins left="0.7" right="0.7" top="0.75" bottom="0.75" header="0.3" footer="0.3"/>
      <pageSetup scale="76" orientation="portrait" r:id="rId2"/>
    </customSheetView>
  </customSheetViews>
  <mergeCells count="3">
    <mergeCell ref="A20:M20"/>
    <mergeCell ref="C29:M29"/>
    <mergeCell ref="A23:L23"/>
  </mergeCells>
  <pageMargins left="0.7" right="0.7" top="0.75" bottom="0.75" header="0.3" footer="0.3"/>
  <pageSetup scale="76" orientation="portrait" r:id="rId3"/>
  <drawing r:id="rId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0" tint="-0.249977111117893"/>
  </sheetPr>
  <dimension ref="A1:M90"/>
  <sheetViews>
    <sheetView zoomScale="40" zoomScaleNormal="40" workbookViewId="0">
      <selection activeCell="F69" sqref="F69"/>
    </sheetView>
  </sheetViews>
  <sheetFormatPr defaultRowHeight="12.75" x14ac:dyDescent="0.2"/>
  <cols>
    <col min="1" max="16384" width="9.140625" style="49"/>
  </cols>
  <sheetData>
    <row r="1" spans="1:13" s="44" customFormat="1" ht="26.25" x14ac:dyDescent="0.4">
      <c r="A1" s="41" t="s">
        <v>37</v>
      </c>
      <c r="B1" s="42"/>
      <c r="C1" s="42"/>
      <c r="D1" s="42"/>
      <c r="E1" s="43"/>
      <c r="G1" s="43"/>
      <c r="H1" s="43"/>
      <c r="I1" s="43"/>
      <c r="J1" s="43"/>
      <c r="K1" s="43"/>
      <c r="L1" s="43"/>
      <c r="M1" s="43"/>
    </row>
    <row r="2" spans="1:13" s="40" customFormat="1" ht="23.25" x14ac:dyDescent="0.35">
      <c r="A2" s="37" t="s">
        <v>287</v>
      </c>
      <c r="B2" s="38"/>
      <c r="C2" s="38"/>
      <c r="D2" s="38"/>
      <c r="E2" s="39"/>
      <c r="G2" s="39"/>
      <c r="H2" s="39"/>
      <c r="I2" s="39"/>
      <c r="J2" s="39"/>
      <c r="K2" s="39"/>
      <c r="L2" s="39"/>
      <c r="M2" s="39"/>
    </row>
    <row r="90" spans="11:11" x14ac:dyDescent="0.2">
      <c r="K90" s="49">
        <v>3</v>
      </c>
    </row>
  </sheetData>
  <customSheetViews>
    <customSheetView guid="{27ECCA9D-8222-4026-A3C8-C768CAE028E0}">
      <selection activeCell="J28" sqref="J28"/>
      <pageMargins left="0.7" right="0.7" top="0.75" bottom="0.75" header="0.3" footer="0.3"/>
    </customSheetView>
    <customSheetView guid="{D635BEAF-4410-44C3-8109-399BEE34BBD8}">
      <selection activeCell="J28" sqref="J28"/>
      <pageMargins left="0.7" right="0.7" top="0.75" bottom="0.75" header="0.3" footer="0.3"/>
    </customSheetView>
  </customSheetViews>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theme="0" tint="-0.249977111117893"/>
  </sheetPr>
  <dimension ref="A1:X50"/>
  <sheetViews>
    <sheetView zoomScale="60" zoomScaleNormal="60" workbookViewId="0">
      <selection activeCell="F69" sqref="F69"/>
    </sheetView>
  </sheetViews>
  <sheetFormatPr defaultRowHeight="15" x14ac:dyDescent="0.25"/>
  <cols>
    <col min="1" max="1" width="49.85546875" style="768" customWidth="1"/>
    <col min="2" max="2" width="16.28515625" style="768" bestFit="1" customWidth="1"/>
    <col min="3" max="3" width="15.28515625" style="768" bestFit="1" customWidth="1"/>
    <col min="4" max="4" width="18.7109375" style="768" bestFit="1" customWidth="1"/>
    <col min="5" max="6" width="13.7109375" style="768" customWidth="1"/>
    <col min="7" max="7" width="22.85546875" style="768" customWidth="1"/>
    <col min="8" max="9" width="14.85546875" style="768" bestFit="1" customWidth="1"/>
    <col min="10" max="10" width="14" style="768" bestFit="1" customWidth="1"/>
    <col min="11" max="13" width="13.7109375" style="768" customWidth="1"/>
    <col min="14" max="14" width="17.140625" style="768" customWidth="1"/>
    <col min="15" max="15" width="17.5703125" style="768" customWidth="1"/>
    <col min="16" max="16" width="12.7109375" style="47" customWidth="1"/>
    <col min="17" max="17" width="16.85546875" style="47" customWidth="1"/>
    <col min="18" max="21" width="9.140625" style="47"/>
    <col min="22" max="22" width="9.85546875" style="47" customWidth="1"/>
    <col min="23" max="23" width="9.140625" style="47"/>
    <col min="24" max="24" width="9.7109375" style="47" customWidth="1"/>
    <col min="25" max="28" width="9.140625" style="47"/>
    <col min="29" max="29" width="10.28515625" style="47" customWidth="1"/>
    <col min="30" max="30" width="19.42578125" style="47" customWidth="1"/>
    <col min="31" max="31" width="10.7109375" style="47" customWidth="1"/>
    <col min="32" max="32" width="18.85546875" style="47" customWidth="1"/>
    <col min="33" max="33" width="11.140625" style="47" bestFit="1" customWidth="1"/>
    <col min="34" max="16384" width="9.140625" style="47"/>
  </cols>
  <sheetData>
    <row r="1" spans="1:24" s="44" customFormat="1" ht="26.25" x14ac:dyDescent="0.4">
      <c r="A1" s="763" t="s">
        <v>37</v>
      </c>
      <c r="B1" s="764"/>
      <c r="C1" s="764"/>
      <c r="D1" s="764"/>
      <c r="E1" s="764"/>
      <c r="F1" s="764"/>
      <c r="G1" s="764"/>
      <c r="H1" s="764"/>
      <c r="I1" s="764"/>
      <c r="J1" s="764"/>
      <c r="K1" s="764"/>
      <c r="L1" s="765"/>
      <c r="M1" s="765"/>
      <c r="N1" s="765"/>
      <c r="O1" s="765"/>
    </row>
    <row r="2" spans="1:24" s="40" customFormat="1" ht="23.25" x14ac:dyDescent="0.35">
      <c r="A2" s="753" t="s">
        <v>259</v>
      </c>
      <c r="B2" s="766"/>
      <c r="C2" s="766"/>
      <c r="D2" s="766"/>
      <c r="E2" s="766"/>
      <c r="F2" s="766"/>
      <c r="G2" s="766"/>
      <c r="H2" s="766"/>
      <c r="I2" s="766"/>
      <c r="J2" s="766"/>
      <c r="K2" s="766"/>
      <c r="L2" s="767"/>
      <c r="M2" s="767"/>
      <c r="N2" s="767"/>
      <c r="O2" s="767"/>
    </row>
    <row r="3" spans="1:24" x14ac:dyDescent="0.25">
      <c r="S3" s="181"/>
    </row>
    <row r="4" spans="1:24" x14ac:dyDescent="0.25">
      <c r="A4" s="769"/>
      <c r="B4" s="769"/>
      <c r="C4" s="769"/>
      <c r="D4" s="769"/>
      <c r="E4" s="769"/>
      <c r="F4" s="769"/>
      <c r="G4" s="769"/>
      <c r="H4" s="769"/>
      <c r="I4" s="769"/>
      <c r="J4" s="769"/>
      <c r="K4" s="769"/>
      <c r="L4" s="769"/>
      <c r="M4" s="769"/>
      <c r="N4" s="769"/>
      <c r="O4" s="769"/>
      <c r="S4" s="181"/>
    </row>
    <row r="5" spans="1:24" ht="18.75" x14ac:dyDescent="0.3">
      <c r="A5" s="770" t="str">
        <f>'1. Building Information'!B53</f>
        <v>SITE: Project Name -- Project Address</v>
      </c>
      <c r="B5" s="771"/>
      <c r="C5" s="771"/>
      <c r="D5" s="771"/>
      <c r="E5" s="771"/>
      <c r="F5" s="771"/>
      <c r="G5" s="771"/>
      <c r="H5" s="771"/>
      <c r="I5" s="771"/>
      <c r="J5" s="771"/>
      <c r="K5" s="771"/>
      <c r="L5" s="771"/>
      <c r="M5" s="771"/>
      <c r="N5" s="771"/>
      <c r="O5" s="771"/>
      <c r="P5" s="111"/>
      <c r="Q5" s="111"/>
      <c r="S5" s="181"/>
    </row>
    <row r="6" spans="1:24" x14ac:dyDescent="0.25">
      <c r="K6" s="772"/>
    </row>
    <row r="7" spans="1:24" x14ac:dyDescent="0.25">
      <c r="A7" s="773" t="s">
        <v>831</v>
      </c>
      <c r="B7" s="853">
        <f>'5. Outdoor Non-Potable Supply'!C20</f>
        <v>0</v>
      </c>
      <c r="K7" s="772"/>
    </row>
    <row r="8" spans="1:24" ht="17.25" x14ac:dyDescent="0.25">
      <c r="A8" s="773" t="s">
        <v>249</v>
      </c>
      <c r="B8" s="774">
        <f>'5. Outdoor Non-Potable Supply'!C20</f>
        <v>0</v>
      </c>
      <c r="E8" s="775" t="s">
        <v>572</v>
      </c>
      <c r="F8" s="768" t="s">
        <v>573</v>
      </c>
      <c r="K8" s="772"/>
    </row>
    <row r="9" spans="1:24" x14ac:dyDescent="0.25">
      <c r="A9" s="773" t="s">
        <v>101</v>
      </c>
      <c r="B9" s="776">
        <f>'5. Outdoor Non-Potable Supply'!C21</f>
        <v>0</v>
      </c>
      <c r="E9" s="775" t="s">
        <v>575</v>
      </c>
      <c r="F9" s="768" t="s">
        <v>576</v>
      </c>
      <c r="K9" s="772"/>
    </row>
    <row r="10" spans="1:24" ht="15.75" x14ac:dyDescent="0.25">
      <c r="A10" s="773" t="s">
        <v>246</v>
      </c>
      <c r="B10" s="774">
        <f>'7. Project Definition'!D130</f>
        <v>0</v>
      </c>
      <c r="C10" s="48" t="str">
        <f>'7. Project Definition'!C130</f>
        <v>No</v>
      </c>
      <c r="E10" s="775" t="s">
        <v>574</v>
      </c>
      <c r="F10" s="768" t="s">
        <v>577</v>
      </c>
      <c r="K10" s="772"/>
      <c r="T10" s="703"/>
      <c r="U10" s="704"/>
      <c r="V10" s="704"/>
      <c r="W10" s="704"/>
      <c r="X10" s="704"/>
    </row>
    <row r="11" spans="1:24" ht="15.75" x14ac:dyDescent="0.25">
      <c r="A11" s="773" t="s">
        <v>771</v>
      </c>
      <c r="B11" s="777">
        <f>'4. Outdoor Water Demand'!C36</f>
        <v>0</v>
      </c>
      <c r="E11" s="775" t="s">
        <v>578</v>
      </c>
      <c r="F11" s="768" t="s">
        <v>579</v>
      </c>
      <c r="K11" s="772"/>
      <c r="T11" s="703"/>
      <c r="U11" s="704"/>
      <c r="V11" s="705"/>
      <c r="W11" s="706" t="s">
        <v>760</v>
      </c>
      <c r="X11" s="707">
        <v>0</v>
      </c>
    </row>
    <row r="12" spans="1:24" ht="15.75" x14ac:dyDescent="0.25">
      <c r="A12" s="773" t="s">
        <v>36</v>
      </c>
      <c r="B12" s="777">
        <f>'4. Outdoor Water Demand'!C37</f>
        <v>0.9</v>
      </c>
      <c r="E12" s="775" t="s">
        <v>583</v>
      </c>
      <c r="F12" s="768" t="s">
        <v>584</v>
      </c>
      <c r="K12" s="772"/>
      <c r="T12" s="708"/>
      <c r="U12" s="709"/>
      <c r="V12" s="707"/>
      <c r="W12" s="710" t="s">
        <v>247</v>
      </c>
      <c r="X12" s="711">
        <v>0</v>
      </c>
    </row>
    <row r="13" spans="1:24" ht="17.25" x14ac:dyDescent="0.25">
      <c r="A13" s="773" t="s">
        <v>772</v>
      </c>
      <c r="B13" s="778">
        <f>SUM('1. Building Information'!J100:J103)</f>
        <v>0</v>
      </c>
      <c r="E13" s="775" t="s">
        <v>581</v>
      </c>
      <c r="F13" s="768" t="s">
        <v>582</v>
      </c>
      <c r="K13" s="772"/>
      <c r="T13" s="703"/>
      <c r="U13" s="704"/>
      <c r="V13" s="704"/>
      <c r="W13" s="704"/>
      <c r="X13" s="704"/>
    </row>
    <row r="14" spans="1:24" ht="29.25" customHeight="1" x14ac:dyDescent="0.25">
      <c r="A14" s="858" t="s">
        <v>779</v>
      </c>
      <c r="B14" s="779">
        <f>((0.25/12)*B7)*7.4805</f>
        <v>0</v>
      </c>
      <c r="C14" s="768" t="str">
        <f>IF(AND(C10="Yes",B10&lt;B14),"Undersized",IF(AND(C10="Yes",B10&gt;=B14),"Minimum Volume Guidelines Met", IF(C10="No","N/A","")))</f>
        <v>N/A</v>
      </c>
      <c r="E14" s="775" t="s">
        <v>580</v>
      </c>
      <c r="F14" s="768" t="s">
        <v>585</v>
      </c>
      <c r="K14" s="772"/>
      <c r="T14" s="703"/>
      <c r="U14" s="704"/>
      <c r="V14" s="704"/>
      <c r="W14" s="704"/>
      <c r="X14" s="704"/>
    </row>
    <row r="15" spans="1:24" ht="15.75" x14ac:dyDescent="0.25">
      <c r="K15" s="772"/>
      <c r="T15" s="703"/>
      <c r="U15" s="703"/>
      <c r="V15" s="703"/>
      <c r="W15" s="703"/>
      <c r="X15" s="703"/>
    </row>
    <row r="16" spans="1:24" ht="15.75" x14ac:dyDescent="0.25">
      <c r="D16" s="772"/>
      <c r="E16" s="772"/>
      <c r="F16" s="772"/>
      <c r="G16" s="772"/>
      <c r="H16" s="772"/>
      <c r="I16" s="772"/>
      <c r="J16" s="772"/>
      <c r="K16" s="772"/>
      <c r="L16" s="772"/>
      <c r="M16" s="772"/>
      <c r="T16" s="703"/>
      <c r="U16" s="703"/>
      <c r="V16" s="703"/>
      <c r="W16" s="703"/>
      <c r="X16" s="703"/>
    </row>
    <row r="17" spans="1:16" x14ac:dyDescent="0.25">
      <c r="C17" s="794"/>
    </row>
    <row r="18" spans="1:16" x14ac:dyDescent="0.25">
      <c r="G18" s="795"/>
    </row>
    <row r="19" spans="1:16" x14ac:dyDescent="0.25">
      <c r="A19" s="519" t="s">
        <v>774</v>
      </c>
      <c r="C19" s="1842" t="s">
        <v>835</v>
      </c>
      <c r="D19" s="1842"/>
      <c r="E19" s="1842"/>
      <c r="F19" s="1842"/>
      <c r="G19" s="1842"/>
      <c r="H19" s="1842"/>
      <c r="I19" s="1842"/>
      <c r="J19" s="1842"/>
      <c r="K19" s="1842"/>
      <c r="L19" s="1842"/>
      <c r="M19" s="1842"/>
      <c r="N19" s="1842"/>
      <c r="O19" s="1842"/>
    </row>
    <row r="20" spans="1:16" x14ac:dyDescent="0.25">
      <c r="A20" s="1844" t="s">
        <v>22</v>
      </c>
      <c r="B20" s="1844" t="s">
        <v>836</v>
      </c>
      <c r="C20" s="1846" t="s">
        <v>762</v>
      </c>
      <c r="D20" s="1847"/>
      <c r="E20" s="1848" t="s">
        <v>895</v>
      </c>
      <c r="F20" s="1848"/>
      <c r="G20" s="1846" t="s">
        <v>248</v>
      </c>
      <c r="H20" s="1849"/>
      <c r="I20" s="1849"/>
      <c r="J20" s="1843" t="s">
        <v>763</v>
      </c>
      <c r="K20" s="1843"/>
      <c r="L20" s="1843"/>
      <c r="M20" s="1843"/>
      <c r="N20" s="1843"/>
      <c r="O20" s="1843"/>
    </row>
    <row r="21" spans="1:16" ht="45" x14ac:dyDescent="0.25">
      <c r="A21" s="1845"/>
      <c r="B21" s="1845"/>
      <c r="C21" s="780" t="s">
        <v>764</v>
      </c>
      <c r="D21" s="780" t="s">
        <v>765</v>
      </c>
      <c r="E21" s="780" t="s">
        <v>843</v>
      </c>
      <c r="F21" s="780" t="s">
        <v>837</v>
      </c>
      <c r="G21" s="780" t="s">
        <v>773</v>
      </c>
      <c r="H21" s="780" t="s">
        <v>766</v>
      </c>
      <c r="I21" s="780" t="s">
        <v>767</v>
      </c>
      <c r="J21" s="780" t="s">
        <v>768</v>
      </c>
      <c r="K21" s="780" t="s">
        <v>769</v>
      </c>
      <c r="L21" s="780" t="s">
        <v>761</v>
      </c>
      <c r="M21" s="780" t="s">
        <v>770</v>
      </c>
      <c r="N21" s="780" t="s">
        <v>776</v>
      </c>
      <c r="O21" s="780" t="s">
        <v>775</v>
      </c>
      <c r="P21" s="854" t="s">
        <v>832</v>
      </c>
    </row>
    <row r="22" spans="1:16" x14ac:dyDescent="0.25">
      <c r="A22" s="781" t="s">
        <v>0</v>
      </c>
      <c r="B22" s="782">
        <v>6.74</v>
      </c>
      <c r="C22" s="783">
        <f>$B$8*$B$9*(B22/12)*7.48</f>
        <v>0</v>
      </c>
      <c r="D22" s="783">
        <f>C22</f>
        <v>0</v>
      </c>
      <c r="E22" s="782">
        <v>2.7099900000000012</v>
      </c>
      <c r="F22" s="783">
        <f>E22*$B$11</f>
        <v>0</v>
      </c>
      <c r="G22" s="783">
        <f>(IF((F22*'5. Outdoor Non-Potable Supply'!D37)-B22&gt;0,((F22*'5. Outdoor Non-Potable Supply'!D37)-B22)/$B$12,0)/12*7.48)*$B$13</f>
        <v>0</v>
      </c>
      <c r="H22" s="783">
        <f>'7. Project Definition'!$E$42*'5. Outdoor Non-Potable Supply'!D37</f>
        <v>0</v>
      </c>
      <c r="I22" s="783">
        <f>SUM(G22:H22)</f>
        <v>0</v>
      </c>
      <c r="J22" s="783">
        <f>IF(OR($B$10=0,$B$10&lt;$B$14),0,IF(I22&gt;D22,D22, L22-0+I22))</f>
        <v>0</v>
      </c>
      <c r="K22" s="783">
        <f>IF(D22+0&gt;I22,I22, D22+0)</f>
        <v>0</v>
      </c>
      <c r="L22" s="783">
        <f>IF(P22&lt;0, 0, IF(P22&gt;$B$10, $B$10, P22))</f>
        <v>0</v>
      </c>
      <c r="M22" s="783">
        <f>IF(C22&gt;I22, C22-I22-0,0)</f>
        <v>0</v>
      </c>
      <c r="N22" s="784" t="e">
        <f>J22/D22</f>
        <v>#DIV/0!</v>
      </c>
      <c r="O22" s="784" t="e">
        <f>K22/I22</f>
        <v>#DIV/0!</v>
      </c>
      <c r="P22" s="855">
        <f>0+D22-I22</f>
        <v>0</v>
      </c>
    </row>
    <row r="23" spans="1:16" x14ac:dyDescent="0.25">
      <c r="A23" s="781" t="s">
        <v>2</v>
      </c>
      <c r="B23" s="782">
        <v>3.52</v>
      </c>
      <c r="C23" s="783">
        <f t="shared" ref="C23:C33" si="0">$B$8*$B$9*(B23/12)*7.48</f>
        <v>0</v>
      </c>
      <c r="D23" s="783">
        <f t="shared" ref="D23:D33" si="1">C23</f>
        <v>0</v>
      </c>
      <c r="E23" s="782">
        <v>1.673349</v>
      </c>
      <c r="F23" s="783">
        <f t="shared" ref="F23:F33" si="2">E23*$B$11</f>
        <v>0</v>
      </c>
      <c r="G23" s="783">
        <f>(IF((F23*'5. Outdoor Non-Potable Supply'!D38)-B23&gt;0,((F23*'5. Outdoor Non-Potable Supply'!D38)-B23)/$B$12,0)/12*7.48)*$B$13</f>
        <v>0</v>
      </c>
      <c r="H23" s="783">
        <f>'7. Project Definition'!$E$42*'5. Outdoor Non-Potable Supply'!D38</f>
        <v>0</v>
      </c>
      <c r="I23" s="783">
        <f t="shared" ref="I23:I33" si="3">SUM(G23:H23)</f>
        <v>0</v>
      </c>
      <c r="J23" s="783">
        <f t="shared" ref="J23:J33" si="4">IF(OR($B$10=0,$B$10&lt;$B$14),0,IF(I23&gt;D23,D23, L23-0+I23))</f>
        <v>0</v>
      </c>
      <c r="K23" s="783">
        <f t="shared" ref="K23:K33" si="5">IF(D23+0&gt;I23,I23, D23+0)</f>
        <v>0</v>
      </c>
      <c r="L23" s="783">
        <f t="shared" ref="L23:L33" si="6">IF(P23&lt;0, 0, IF(P23&gt;$B$10, $B$10, P23))</f>
        <v>0</v>
      </c>
      <c r="M23" s="783">
        <f t="shared" ref="M23:M33" si="7">IF(C23&gt;I23, C23-I23-0,0)</f>
        <v>0</v>
      </c>
      <c r="N23" s="784" t="e">
        <f t="shared" ref="N23:N33" si="8">J23/D23</f>
        <v>#DIV/0!</v>
      </c>
      <c r="O23" s="784" t="e">
        <f t="shared" ref="O23:O33" si="9">K23/I23</f>
        <v>#DIV/0!</v>
      </c>
      <c r="P23" s="856">
        <f t="shared" ref="P23:P33" si="10">0+D23-I23</f>
        <v>0</v>
      </c>
    </row>
    <row r="24" spans="1:16" x14ac:dyDescent="0.25">
      <c r="A24" s="781" t="s">
        <v>3</v>
      </c>
      <c r="B24" s="782">
        <v>3.3400000000000003</v>
      </c>
      <c r="C24" s="783">
        <f t="shared" si="0"/>
        <v>0</v>
      </c>
      <c r="D24" s="783">
        <f t="shared" si="1"/>
        <v>0</v>
      </c>
      <c r="E24" s="782">
        <v>0.61668000000000023</v>
      </c>
      <c r="F24" s="783">
        <f t="shared" si="2"/>
        <v>0</v>
      </c>
      <c r="G24" s="783">
        <f>(IF((F24*'5. Outdoor Non-Potable Supply'!D39)-B24&gt;0,((F24*'5. Outdoor Non-Potable Supply'!D39)-B24)/$B$12,0)/12*7.48)*$B$13</f>
        <v>0</v>
      </c>
      <c r="H24" s="783">
        <f>'7. Project Definition'!$E$42*'5. Outdoor Non-Potable Supply'!D39</f>
        <v>0</v>
      </c>
      <c r="I24" s="783">
        <f t="shared" si="3"/>
        <v>0</v>
      </c>
      <c r="J24" s="783">
        <f t="shared" si="4"/>
        <v>0</v>
      </c>
      <c r="K24" s="783">
        <f t="shared" si="5"/>
        <v>0</v>
      </c>
      <c r="L24" s="783">
        <f t="shared" si="6"/>
        <v>0</v>
      </c>
      <c r="M24" s="783">
        <f t="shared" si="7"/>
        <v>0</v>
      </c>
      <c r="N24" s="784" t="e">
        <f t="shared" si="8"/>
        <v>#DIV/0!</v>
      </c>
      <c r="O24" s="784" t="e">
        <f t="shared" si="9"/>
        <v>#DIV/0!</v>
      </c>
      <c r="P24" s="856">
        <f t="shared" si="10"/>
        <v>0</v>
      </c>
    </row>
    <row r="25" spans="1:16" x14ac:dyDescent="0.25">
      <c r="A25" s="781" t="s">
        <v>4</v>
      </c>
      <c r="B25" s="782">
        <v>5.969999999999998</v>
      </c>
      <c r="C25" s="783">
        <f t="shared" si="0"/>
        <v>0</v>
      </c>
      <c r="D25" s="783">
        <f t="shared" si="1"/>
        <v>0</v>
      </c>
      <c r="E25" s="782">
        <v>0.36332000000000014</v>
      </c>
      <c r="F25" s="783">
        <f t="shared" si="2"/>
        <v>0</v>
      </c>
      <c r="G25" s="783">
        <f>(IF((F25*'5. Outdoor Non-Potable Supply'!D40)-B25&gt;0,((F25*'5. Outdoor Non-Potable Supply'!D40)-B25)/$B$12,0)/12*7.48)*$B$13</f>
        <v>0</v>
      </c>
      <c r="H25" s="783">
        <f>'7. Project Definition'!$E$42*'5. Outdoor Non-Potable Supply'!D40</f>
        <v>0</v>
      </c>
      <c r="I25" s="783">
        <f t="shared" si="3"/>
        <v>0</v>
      </c>
      <c r="J25" s="783">
        <f t="shared" si="4"/>
        <v>0</v>
      </c>
      <c r="K25" s="783">
        <f t="shared" si="5"/>
        <v>0</v>
      </c>
      <c r="L25" s="783">
        <f t="shared" si="6"/>
        <v>0</v>
      </c>
      <c r="M25" s="783">
        <f t="shared" si="7"/>
        <v>0</v>
      </c>
      <c r="N25" s="784" t="e">
        <f t="shared" si="8"/>
        <v>#DIV/0!</v>
      </c>
      <c r="O25" s="784" t="e">
        <f t="shared" si="9"/>
        <v>#DIV/0!</v>
      </c>
      <c r="P25" s="856">
        <f t="shared" si="10"/>
        <v>0</v>
      </c>
    </row>
    <row r="26" spans="1:16" x14ac:dyDescent="0.25">
      <c r="A26" s="781" t="s">
        <v>28</v>
      </c>
      <c r="B26" s="782">
        <v>2.33</v>
      </c>
      <c r="C26" s="783">
        <f t="shared" si="0"/>
        <v>0</v>
      </c>
      <c r="D26" s="783">
        <f t="shared" si="1"/>
        <v>0</v>
      </c>
      <c r="E26" s="782">
        <v>0.50334699999999999</v>
      </c>
      <c r="F26" s="783">
        <f t="shared" si="2"/>
        <v>0</v>
      </c>
      <c r="G26" s="783">
        <f>(IF((F26*'5. Outdoor Non-Potable Supply'!D29)-B26&gt;0,((F26*'5. Outdoor Non-Potable Supply'!D29)-B26)/$B$12,0)/12*7.48)*$B$13</f>
        <v>0</v>
      </c>
      <c r="H26" s="783">
        <f>'7. Project Definition'!$E$42*'5. Outdoor Non-Potable Supply'!D29</f>
        <v>0</v>
      </c>
      <c r="I26" s="783">
        <f t="shared" si="3"/>
        <v>0</v>
      </c>
      <c r="J26" s="783">
        <f t="shared" si="4"/>
        <v>0</v>
      </c>
      <c r="K26" s="783">
        <f t="shared" si="5"/>
        <v>0</v>
      </c>
      <c r="L26" s="783">
        <f t="shared" si="6"/>
        <v>0</v>
      </c>
      <c r="M26" s="783">
        <f t="shared" si="7"/>
        <v>0</v>
      </c>
      <c r="N26" s="784" t="e">
        <f t="shared" si="8"/>
        <v>#DIV/0!</v>
      </c>
      <c r="O26" s="784" t="e">
        <f t="shared" si="9"/>
        <v>#DIV/0!</v>
      </c>
      <c r="P26" s="856">
        <f t="shared" si="10"/>
        <v>0</v>
      </c>
    </row>
    <row r="27" spans="1:16" x14ac:dyDescent="0.25">
      <c r="A27" s="781" t="s">
        <v>29</v>
      </c>
      <c r="B27" s="782">
        <v>4.7000000000000011</v>
      </c>
      <c r="C27" s="783">
        <f t="shared" si="0"/>
        <v>0</v>
      </c>
      <c r="D27" s="783">
        <f t="shared" si="1"/>
        <v>0</v>
      </c>
      <c r="E27" s="782">
        <v>0.5599900000000001</v>
      </c>
      <c r="F27" s="783">
        <f>E27*$B$11</f>
        <v>0</v>
      </c>
      <c r="G27" s="783">
        <f>(IF((F27*'5. Outdoor Non-Potable Supply'!D30)-B27&gt;0,((F27*'5. Outdoor Non-Potable Supply'!D30)-B27)/$B$12,0)/12*7.48)*$B$13</f>
        <v>0</v>
      </c>
      <c r="H27" s="783">
        <f>'7. Project Definition'!$E$42*'5. Outdoor Non-Potable Supply'!D30</f>
        <v>0</v>
      </c>
      <c r="I27" s="783">
        <f t="shared" si="3"/>
        <v>0</v>
      </c>
      <c r="J27" s="783">
        <f t="shared" si="4"/>
        <v>0</v>
      </c>
      <c r="K27" s="783">
        <f t="shared" si="5"/>
        <v>0</v>
      </c>
      <c r="L27" s="783">
        <f t="shared" si="6"/>
        <v>0</v>
      </c>
      <c r="M27" s="783">
        <f t="shared" si="7"/>
        <v>0</v>
      </c>
      <c r="N27" s="784" t="e">
        <f t="shared" si="8"/>
        <v>#DIV/0!</v>
      </c>
      <c r="O27" s="784" t="e">
        <f t="shared" si="9"/>
        <v>#DIV/0!</v>
      </c>
      <c r="P27" s="856">
        <f t="shared" si="10"/>
        <v>0</v>
      </c>
    </row>
    <row r="28" spans="1:16" x14ac:dyDescent="0.25">
      <c r="A28" s="781" t="s">
        <v>30</v>
      </c>
      <c r="B28" s="782">
        <v>3.5999999999999996</v>
      </c>
      <c r="C28" s="783">
        <f t="shared" si="0"/>
        <v>0</v>
      </c>
      <c r="D28" s="783">
        <f t="shared" si="1"/>
        <v>0</v>
      </c>
      <c r="E28" s="782">
        <v>1.3166629999999997</v>
      </c>
      <c r="F28" s="783">
        <f t="shared" si="2"/>
        <v>0</v>
      </c>
      <c r="G28" s="783">
        <f>(IF((F28*'5. Outdoor Non-Potable Supply'!D31)-B28&gt;0,((F28*'5. Outdoor Non-Potable Supply'!D31)-B28)/$B$12,0)/12*7.48)*$B$13</f>
        <v>0</v>
      </c>
      <c r="H28" s="783">
        <f>'7. Project Definition'!$E$42*'5. Outdoor Non-Potable Supply'!D31</f>
        <v>0</v>
      </c>
      <c r="I28" s="783">
        <f t="shared" si="3"/>
        <v>0</v>
      </c>
      <c r="J28" s="783">
        <f t="shared" si="4"/>
        <v>0</v>
      </c>
      <c r="K28" s="783">
        <f t="shared" si="5"/>
        <v>0</v>
      </c>
      <c r="L28" s="783">
        <f t="shared" si="6"/>
        <v>0</v>
      </c>
      <c r="M28" s="783">
        <f t="shared" si="7"/>
        <v>0</v>
      </c>
      <c r="N28" s="784" t="e">
        <f t="shared" si="8"/>
        <v>#DIV/0!</v>
      </c>
      <c r="O28" s="784" t="e">
        <f t="shared" si="9"/>
        <v>#DIV/0!</v>
      </c>
      <c r="P28" s="856">
        <f t="shared" si="10"/>
        <v>0</v>
      </c>
    </row>
    <row r="29" spans="1:16" x14ac:dyDescent="0.25">
      <c r="A29" s="781" t="s">
        <v>31</v>
      </c>
      <c r="B29" s="782">
        <v>2.7500000000000004</v>
      </c>
      <c r="C29" s="783">
        <f t="shared" si="0"/>
        <v>0</v>
      </c>
      <c r="D29" s="783">
        <f t="shared" si="1"/>
        <v>0</v>
      </c>
      <c r="E29" s="782">
        <v>2.3666700000000009</v>
      </c>
      <c r="F29" s="783">
        <f t="shared" si="2"/>
        <v>0</v>
      </c>
      <c r="G29" s="783">
        <f>(IF((F29*'5. Outdoor Non-Potable Supply'!D32)-B29&gt;0,((F29*'5. Outdoor Non-Potable Supply'!D32)-B29)/$B$12,0)/12*7.48)*$B$13</f>
        <v>0</v>
      </c>
      <c r="H29" s="783">
        <f>'7. Project Definition'!$E$42*'5. Outdoor Non-Potable Supply'!D32</f>
        <v>0</v>
      </c>
      <c r="I29" s="783">
        <f t="shared" si="3"/>
        <v>0</v>
      </c>
      <c r="J29" s="783">
        <f t="shared" si="4"/>
        <v>0</v>
      </c>
      <c r="K29" s="783">
        <f t="shared" si="5"/>
        <v>0</v>
      </c>
      <c r="L29" s="783">
        <f t="shared" si="6"/>
        <v>0</v>
      </c>
      <c r="M29" s="783">
        <f t="shared" si="7"/>
        <v>0</v>
      </c>
      <c r="N29" s="784" t="e">
        <f t="shared" si="8"/>
        <v>#DIV/0!</v>
      </c>
      <c r="O29" s="784" t="e">
        <f t="shared" si="9"/>
        <v>#DIV/0!</v>
      </c>
      <c r="P29" s="856">
        <f t="shared" si="10"/>
        <v>0</v>
      </c>
    </row>
    <row r="30" spans="1:16" x14ac:dyDescent="0.25">
      <c r="A30" s="781" t="s">
        <v>32</v>
      </c>
      <c r="B30" s="782">
        <v>3.25</v>
      </c>
      <c r="C30" s="783">
        <f t="shared" si="0"/>
        <v>0</v>
      </c>
      <c r="D30" s="783">
        <f t="shared" si="1"/>
        <v>0</v>
      </c>
      <c r="E30" s="782">
        <v>3.3799920000000001</v>
      </c>
      <c r="F30" s="783">
        <f t="shared" si="2"/>
        <v>0</v>
      </c>
      <c r="G30" s="783">
        <f>(IF((F30*'5. Outdoor Non-Potable Supply'!D33)-B30&gt;0,((F30*'5. Outdoor Non-Potable Supply'!D33)-B30)/$B$12,0)/12*7.48)*$B$13</f>
        <v>0</v>
      </c>
      <c r="H30" s="783">
        <f>'7. Project Definition'!$E$42*'5. Outdoor Non-Potable Supply'!D33</f>
        <v>0</v>
      </c>
      <c r="I30" s="783">
        <f t="shared" si="3"/>
        <v>0</v>
      </c>
      <c r="J30" s="783">
        <f t="shared" si="4"/>
        <v>0</v>
      </c>
      <c r="K30" s="783">
        <f t="shared" si="5"/>
        <v>0</v>
      </c>
      <c r="L30" s="783">
        <f t="shared" si="6"/>
        <v>0</v>
      </c>
      <c r="M30" s="783">
        <f t="shared" si="7"/>
        <v>0</v>
      </c>
      <c r="N30" s="784" t="e">
        <f t="shared" si="8"/>
        <v>#DIV/0!</v>
      </c>
      <c r="O30" s="784" t="e">
        <f t="shared" si="9"/>
        <v>#DIV/0!</v>
      </c>
      <c r="P30" s="856">
        <f t="shared" si="10"/>
        <v>0</v>
      </c>
    </row>
    <row r="31" spans="1:16" x14ac:dyDescent="0.25">
      <c r="A31" s="781" t="s">
        <v>33</v>
      </c>
      <c r="B31" s="782">
        <v>3.55</v>
      </c>
      <c r="C31" s="783">
        <f t="shared" si="0"/>
        <v>0</v>
      </c>
      <c r="D31" s="783">
        <f t="shared" si="1"/>
        <v>0</v>
      </c>
      <c r="E31" s="782">
        <v>4.3666799999999997</v>
      </c>
      <c r="F31" s="783">
        <f t="shared" si="2"/>
        <v>0</v>
      </c>
      <c r="G31" s="783">
        <f>(IF((F31*'5. Outdoor Non-Potable Supply'!D34)-B31&gt;0,((F31*'5. Outdoor Non-Potable Supply'!D34)-B31)/$B$12,0)/12*7.48)*$B$13</f>
        <v>0</v>
      </c>
      <c r="H31" s="783">
        <f>'7. Project Definition'!$E$42*'5. Outdoor Non-Potable Supply'!D34</f>
        <v>0</v>
      </c>
      <c r="I31" s="783">
        <f t="shared" si="3"/>
        <v>0</v>
      </c>
      <c r="J31" s="783">
        <f t="shared" si="4"/>
        <v>0</v>
      </c>
      <c r="K31" s="783">
        <f t="shared" si="5"/>
        <v>0</v>
      </c>
      <c r="L31" s="783">
        <f t="shared" si="6"/>
        <v>0</v>
      </c>
      <c r="M31" s="783">
        <f t="shared" si="7"/>
        <v>0</v>
      </c>
      <c r="N31" s="784" t="e">
        <f t="shared" si="8"/>
        <v>#DIV/0!</v>
      </c>
      <c r="O31" s="784" t="e">
        <f t="shared" si="9"/>
        <v>#DIV/0!</v>
      </c>
      <c r="P31" s="856">
        <f t="shared" si="10"/>
        <v>0</v>
      </c>
    </row>
    <row r="32" spans="1:16" x14ac:dyDescent="0.25">
      <c r="A32" s="785" t="s">
        <v>8</v>
      </c>
      <c r="B32" s="782">
        <v>3.3000000000000003</v>
      </c>
      <c r="C32" s="783">
        <f t="shared" si="0"/>
        <v>0</v>
      </c>
      <c r="D32" s="783">
        <f t="shared" si="1"/>
        <v>0</v>
      </c>
      <c r="E32" s="786">
        <v>4.7800140000000013</v>
      </c>
      <c r="F32" s="783">
        <f t="shared" si="2"/>
        <v>0</v>
      </c>
      <c r="G32" s="783">
        <f>(IF((F32*'5. Outdoor Non-Potable Supply'!D35)-B32&gt;0,((F32*'5. Outdoor Non-Potable Supply'!D35)-B32)/$B$12,0)/12*7.48)*$B$13</f>
        <v>0</v>
      </c>
      <c r="H32" s="783">
        <f>'7. Project Definition'!$E$42*'5. Outdoor Non-Potable Supply'!D35</f>
        <v>0</v>
      </c>
      <c r="I32" s="783">
        <f t="shared" si="3"/>
        <v>0</v>
      </c>
      <c r="J32" s="783">
        <f t="shared" si="4"/>
        <v>0</v>
      </c>
      <c r="K32" s="783">
        <f t="shared" si="5"/>
        <v>0</v>
      </c>
      <c r="L32" s="783">
        <f t="shared" si="6"/>
        <v>0</v>
      </c>
      <c r="M32" s="783">
        <f t="shared" si="7"/>
        <v>0</v>
      </c>
      <c r="N32" s="784" t="e">
        <f t="shared" si="8"/>
        <v>#DIV/0!</v>
      </c>
      <c r="O32" s="784" t="e">
        <f t="shared" si="9"/>
        <v>#DIV/0!</v>
      </c>
      <c r="P32" s="856">
        <f t="shared" si="10"/>
        <v>0</v>
      </c>
    </row>
    <row r="33" spans="1:16" ht="15.75" thickBot="1" x14ac:dyDescent="0.3">
      <c r="A33" s="787" t="s">
        <v>9</v>
      </c>
      <c r="B33" s="788">
        <v>3.21</v>
      </c>
      <c r="C33" s="789">
        <f t="shared" si="0"/>
        <v>0</v>
      </c>
      <c r="D33" s="789">
        <f t="shared" si="1"/>
        <v>0</v>
      </c>
      <c r="E33" s="788">
        <v>3.9999920000000007</v>
      </c>
      <c r="F33" s="789">
        <f t="shared" si="2"/>
        <v>0</v>
      </c>
      <c r="G33" s="789">
        <f>(IF((F33*'5. Outdoor Non-Potable Supply'!D36)-B33&gt;0,((F33*'5. Outdoor Non-Potable Supply'!D36)-B33)/$B$12,0)/12*7.48)*$B$13</f>
        <v>0</v>
      </c>
      <c r="H33" s="789">
        <f>'7. Project Definition'!$E$42*'5. Outdoor Non-Potable Supply'!D36</f>
        <v>0</v>
      </c>
      <c r="I33" s="789">
        <f t="shared" si="3"/>
        <v>0</v>
      </c>
      <c r="J33" s="789">
        <f t="shared" si="4"/>
        <v>0</v>
      </c>
      <c r="K33" s="789">
        <f t="shared" si="5"/>
        <v>0</v>
      </c>
      <c r="L33" s="789">
        <f t="shared" si="6"/>
        <v>0</v>
      </c>
      <c r="M33" s="789">
        <f t="shared" si="7"/>
        <v>0</v>
      </c>
      <c r="N33" s="860" t="e">
        <f t="shared" si="8"/>
        <v>#DIV/0!</v>
      </c>
      <c r="O33" s="860" t="e">
        <f t="shared" si="9"/>
        <v>#DIV/0!</v>
      </c>
      <c r="P33" s="857">
        <f t="shared" si="10"/>
        <v>0</v>
      </c>
    </row>
    <row r="34" spans="1:16" ht="15.75" thickTop="1" x14ac:dyDescent="0.25">
      <c r="A34" s="790" t="s">
        <v>5</v>
      </c>
      <c r="B34" s="791">
        <f>SUM(B22:B33)</f>
        <v>46.26</v>
      </c>
      <c r="C34" s="859">
        <f t="shared" ref="C34:E34" si="11">SUM(C22:C33)</f>
        <v>0</v>
      </c>
      <c r="D34" s="859">
        <f t="shared" si="11"/>
        <v>0</v>
      </c>
      <c r="E34" s="791">
        <f t="shared" si="11"/>
        <v>26.636687000000002</v>
      </c>
      <c r="F34" s="792">
        <f>SUM(F22:F33)</f>
        <v>0</v>
      </c>
      <c r="G34" s="792">
        <f t="shared" ref="G34" si="12">SUM(G22:G33)</f>
        <v>0</v>
      </c>
      <c r="H34" s="792">
        <f>SUM(H22:H33)</f>
        <v>0</v>
      </c>
      <c r="I34" s="792">
        <f t="shared" ref="I34" si="13">SUM(I22:I33)</f>
        <v>0</v>
      </c>
      <c r="J34" s="792">
        <f>SUM(J22:J33)</f>
        <v>0</v>
      </c>
      <c r="K34" s="792">
        <f>SUM(K22:K33)</f>
        <v>0</v>
      </c>
      <c r="L34" s="792">
        <f>SUM(L22:L33)</f>
        <v>0</v>
      </c>
      <c r="M34" s="792">
        <f t="shared" ref="M34" si="14">SUM(M22:M33)</f>
        <v>0</v>
      </c>
      <c r="N34" s="793" t="e">
        <f>J34/D34</f>
        <v>#DIV/0!</v>
      </c>
      <c r="O34" s="793" t="e">
        <f>K34/I34</f>
        <v>#DIV/0!</v>
      </c>
      <c r="P34" s="793" t="e">
        <f>M34/K34</f>
        <v>#DIV/0!</v>
      </c>
    </row>
    <row r="35" spans="1:16" x14ac:dyDescent="0.25">
      <c r="D35" s="796"/>
      <c r="E35" s="796"/>
    </row>
    <row r="36" spans="1:16" x14ac:dyDescent="0.25">
      <c r="A36" s="768" t="s">
        <v>316</v>
      </c>
      <c r="B36" s="796"/>
    </row>
    <row r="37" spans="1:16" x14ac:dyDescent="0.25">
      <c r="A37" s="797" t="s">
        <v>611</v>
      </c>
      <c r="B37" s="798" t="s">
        <v>20</v>
      </c>
      <c r="C37" s="799" t="s">
        <v>28</v>
      </c>
      <c r="D37" s="799" t="s">
        <v>29</v>
      </c>
      <c r="E37" s="799" t="s">
        <v>30</v>
      </c>
      <c r="F37" s="799" t="s">
        <v>31</v>
      </c>
      <c r="G37" s="799" t="s">
        <v>32</v>
      </c>
      <c r="H37" s="799" t="s">
        <v>33</v>
      </c>
      <c r="I37" s="799" t="s">
        <v>8</v>
      </c>
      <c r="J37" s="799" t="s">
        <v>9</v>
      </c>
      <c r="K37" s="800" t="s">
        <v>0</v>
      </c>
      <c r="L37" s="800" t="s">
        <v>2</v>
      </c>
      <c r="M37" s="800" t="s">
        <v>3</v>
      </c>
      <c r="N37" s="800" t="s">
        <v>4</v>
      </c>
    </row>
    <row r="38" spans="1:16" x14ac:dyDescent="0.25">
      <c r="A38" s="801" t="str">
        <f>A5</f>
        <v>SITE: Project Name -- Project Address</v>
      </c>
      <c r="B38" s="802">
        <f>SUM(C38:N38)</f>
        <v>0</v>
      </c>
      <c r="C38" s="803">
        <f>J26</f>
        <v>0</v>
      </c>
      <c r="D38" s="803">
        <f>$J27</f>
        <v>0</v>
      </c>
      <c r="E38" s="803">
        <f>$J28</f>
        <v>0</v>
      </c>
      <c r="F38" s="803">
        <f>$J29</f>
        <v>0</v>
      </c>
      <c r="G38" s="803">
        <f>$J30</f>
        <v>0</v>
      </c>
      <c r="H38" s="803">
        <f>$J31</f>
        <v>0</v>
      </c>
      <c r="I38" s="803">
        <f>$J32</f>
        <v>0</v>
      </c>
      <c r="J38" s="803">
        <f>J33</f>
        <v>0</v>
      </c>
      <c r="K38" s="803">
        <f>J22</f>
        <v>0</v>
      </c>
      <c r="L38" s="803">
        <f>J23</f>
        <v>0</v>
      </c>
      <c r="M38" s="803">
        <f>J24</f>
        <v>0</v>
      </c>
      <c r="N38" s="803">
        <f>J25</f>
        <v>0</v>
      </c>
    </row>
    <row r="39" spans="1:16" x14ac:dyDescent="0.25">
      <c r="A39" s="801"/>
      <c r="B39" s="802"/>
      <c r="C39" s="804"/>
      <c r="D39" s="804"/>
      <c r="E39" s="804"/>
      <c r="F39" s="804"/>
      <c r="G39" s="804"/>
      <c r="H39" s="804"/>
      <c r="I39" s="804"/>
      <c r="J39" s="804"/>
      <c r="K39" s="804"/>
      <c r="L39" s="804"/>
      <c r="M39" s="804"/>
      <c r="N39" s="804"/>
    </row>
    <row r="40" spans="1:16" x14ac:dyDescent="0.25">
      <c r="A40" s="801"/>
      <c r="B40" s="802"/>
      <c r="C40" s="804"/>
      <c r="D40" s="804"/>
      <c r="E40" s="804"/>
      <c r="F40" s="804"/>
      <c r="G40" s="804"/>
      <c r="H40" s="804"/>
      <c r="I40" s="804"/>
      <c r="J40" s="804"/>
      <c r="K40" s="804"/>
      <c r="L40" s="804"/>
      <c r="M40" s="804"/>
      <c r="N40" s="804"/>
    </row>
    <row r="41" spans="1:16" x14ac:dyDescent="0.25">
      <c r="A41" s="805" t="s">
        <v>453</v>
      </c>
      <c r="B41" s="802">
        <f t="shared" ref="B41:E41" si="15">SUM(B38:B40)</f>
        <v>0</v>
      </c>
      <c r="C41" s="802">
        <f t="shared" si="15"/>
        <v>0</v>
      </c>
      <c r="D41" s="802">
        <f t="shared" si="15"/>
        <v>0</v>
      </c>
      <c r="E41" s="802">
        <f t="shared" si="15"/>
        <v>0</v>
      </c>
      <c r="F41" s="802">
        <f t="shared" ref="F41:N41" si="16">SUM(F38:F40)</f>
        <v>0</v>
      </c>
      <c r="G41" s="802">
        <f t="shared" si="16"/>
        <v>0</v>
      </c>
      <c r="H41" s="802">
        <f t="shared" si="16"/>
        <v>0</v>
      </c>
      <c r="I41" s="802">
        <f t="shared" si="16"/>
        <v>0</v>
      </c>
      <c r="J41" s="802">
        <f t="shared" si="16"/>
        <v>0</v>
      </c>
      <c r="K41" s="802">
        <f t="shared" si="16"/>
        <v>0</v>
      </c>
      <c r="L41" s="802">
        <f t="shared" si="16"/>
        <v>0</v>
      </c>
      <c r="M41" s="802">
        <f t="shared" si="16"/>
        <v>0</v>
      </c>
      <c r="N41" s="802">
        <f t="shared" si="16"/>
        <v>0</v>
      </c>
      <c r="O41" s="806"/>
    </row>
    <row r="42" spans="1:16" x14ac:dyDescent="0.25">
      <c r="A42" s="807"/>
      <c r="B42" s="806"/>
      <c r="C42" s="806"/>
      <c r="D42" s="806"/>
      <c r="E42" s="806"/>
      <c r="F42" s="806"/>
      <c r="G42" s="806"/>
      <c r="H42" s="806"/>
      <c r="I42" s="806"/>
      <c r="J42" s="806"/>
      <c r="K42" s="806"/>
      <c r="L42" s="806"/>
      <c r="M42" s="806"/>
      <c r="N42" s="806"/>
    </row>
    <row r="43" spans="1:16" x14ac:dyDescent="0.25">
      <c r="A43" s="807"/>
      <c r="B43" s="806"/>
      <c r="C43" s="806"/>
      <c r="D43" s="806"/>
      <c r="E43" s="806"/>
      <c r="F43" s="806"/>
      <c r="G43" s="806"/>
      <c r="H43" s="806"/>
      <c r="I43" s="806"/>
      <c r="J43" s="806"/>
      <c r="K43" s="806"/>
      <c r="L43" s="806"/>
      <c r="M43" s="806"/>
      <c r="N43" s="806"/>
    </row>
    <row r="44" spans="1:16" x14ac:dyDescent="0.25">
      <c r="A44" s="808" t="s">
        <v>612</v>
      </c>
      <c r="B44" s="808" t="s">
        <v>20</v>
      </c>
      <c r="C44" s="799" t="s">
        <v>28</v>
      </c>
      <c r="D44" s="799" t="s">
        <v>29</v>
      </c>
      <c r="E44" s="799" t="s">
        <v>30</v>
      </c>
      <c r="F44" s="799" t="s">
        <v>31</v>
      </c>
      <c r="G44" s="799" t="s">
        <v>32</v>
      </c>
      <c r="H44" s="799" t="s">
        <v>33</v>
      </c>
      <c r="I44" s="799" t="s">
        <v>8</v>
      </c>
      <c r="J44" s="799" t="s">
        <v>9</v>
      </c>
      <c r="K44" s="800" t="s">
        <v>0</v>
      </c>
      <c r="L44" s="800" t="s">
        <v>2</v>
      </c>
      <c r="M44" s="800" t="s">
        <v>3</v>
      </c>
      <c r="N44" s="800" t="s">
        <v>4</v>
      </c>
    </row>
    <row r="45" spans="1:16" x14ac:dyDescent="0.25">
      <c r="A45" s="809" t="str">
        <f t="shared" ref="A45" si="17">A38</f>
        <v>SITE: Project Name -- Project Address</v>
      </c>
      <c r="B45" s="802">
        <f>SUM(C45:N45)</f>
        <v>0</v>
      </c>
      <c r="C45" s="802">
        <f>'5. Outdoor Non-Potable Supply'!$G$29</f>
        <v>0</v>
      </c>
      <c r="D45" s="802">
        <f>'5. Outdoor Non-Potable Supply'!$G$30</f>
        <v>0</v>
      </c>
      <c r="E45" s="802">
        <f>'5. Outdoor Non-Potable Supply'!$G$31</f>
        <v>0</v>
      </c>
      <c r="F45" s="802">
        <f>'5. Outdoor Non-Potable Supply'!$G$32</f>
        <v>0</v>
      </c>
      <c r="G45" s="802">
        <f>'5. Outdoor Non-Potable Supply'!$G$33</f>
        <v>0</v>
      </c>
      <c r="H45" s="802">
        <f>'5. Outdoor Non-Potable Supply'!$G$34</f>
        <v>0</v>
      </c>
      <c r="I45" s="802">
        <f>'5. Outdoor Non-Potable Supply'!$G$35</f>
        <v>0</v>
      </c>
      <c r="J45" s="802">
        <f>'5. Outdoor Non-Potable Supply'!$G$36</f>
        <v>0</v>
      </c>
      <c r="K45" s="802">
        <f>'5. Outdoor Non-Potable Supply'!$G$37</f>
        <v>0</v>
      </c>
      <c r="L45" s="802">
        <f>'5. Outdoor Non-Potable Supply'!$G$38</f>
        <v>0</v>
      </c>
      <c r="M45" s="802">
        <f>'5. Outdoor Non-Potable Supply'!$G$39</f>
        <v>0</v>
      </c>
      <c r="N45" s="802">
        <f>'5. Outdoor Non-Potable Supply'!$G$40</f>
        <v>0</v>
      </c>
    </row>
    <row r="46" spans="1:16" x14ac:dyDescent="0.25">
      <c r="A46" s="809"/>
      <c r="B46" s="802"/>
      <c r="C46" s="802"/>
      <c r="D46" s="802"/>
      <c r="E46" s="802"/>
      <c r="F46" s="802"/>
      <c r="G46" s="802"/>
      <c r="H46" s="802"/>
      <c r="I46" s="802"/>
      <c r="J46" s="802"/>
      <c r="K46" s="802"/>
      <c r="L46" s="802"/>
      <c r="M46" s="802"/>
      <c r="N46" s="802"/>
    </row>
    <row r="47" spans="1:16" x14ac:dyDescent="0.25">
      <c r="A47" s="809"/>
      <c r="B47" s="802"/>
      <c r="C47" s="802"/>
      <c r="D47" s="802"/>
      <c r="E47" s="802"/>
      <c r="F47" s="802"/>
      <c r="G47" s="802"/>
      <c r="H47" s="802"/>
      <c r="I47" s="802"/>
      <c r="J47" s="802"/>
      <c r="K47" s="802"/>
      <c r="L47" s="802"/>
      <c r="M47" s="802"/>
      <c r="N47" s="802"/>
    </row>
    <row r="48" spans="1:16" x14ac:dyDescent="0.25">
      <c r="A48" s="805" t="s">
        <v>453</v>
      </c>
      <c r="B48" s="802">
        <f t="shared" ref="B48:E48" si="18">SUM(B45:B47)</f>
        <v>0</v>
      </c>
      <c r="C48" s="802">
        <f t="shared" si="18"/>
        <v>0</v>
      </c>
      <c r="D48" s="802">
        <f t="shared" si="18"/>
        <v>0</v>
      </c>
      <c r="E48" s="802">
        <f t="shared" si="18"/>
        <v>0</v>
      </c>
      <c r="F48" s="802">
        <f t="shared" ref="F48:N48" si="19">SUM(F45:F47)</f>
        <v>0</v>
      </c>
      <c r="G48" s="802">
        <f t="shared" si="19"/>
        <v>0</v>
      </c>
      <c r="H48" s="802">
        <f t="shared" si="19"/>
        <v>0</v>
      </c>
      <c r="I48" s="802">
        <f t="shared" si="19"/>
        <v>0</v>
      </c>
      <c r="J48" s="802">
        <f t="shared" si="19"/>
        <v>0</v>
      </c>
      <c r="K48" s="802">
        <f t="shared" si="19"/>
        <v>0</v>
      </c>
      <c r="L48" s="802">
        <f t="shared" si="19"/>
        <v>0</v>
      </c>
      <c r="M48" s="802">
        <f t="shared" si="19"/>
        <v>0</v>
      </c>
      <c r="N48" s="802">
        <f t="shared" si="19"/>
        <v>0</v>
      </c>
    </row>
    <row r="50" spans="1:1" x14ac:dyDescent="0.25">
      <c r="A50" s="768" t="s">
        <v>844</v>
      </c>
    </row>
  </sheetData>
  <customSheetViews>
    <customSheetView guid="{27ECCA9D-8222-4026-A3C8-C768CAE028E0}" scale="60" hiddenRows="1" hiddenColumns="1" topLeftCell="Y1">
      <selection activeCell="Y43" sqref="Y43"/>
      <pageMargins left="0.2" right="0.2" top="0.25" bottom="0.25" header="0.3" footer="0.3"/>
      <pageSetup paperSize="17" scale="62" fitToHeight="2" orientation="portrait" r:id="rId1"/>
    </customSheetView>
    <customSheetView guid="{D635BEAF-4410-44C3-8109-399BEE34BBD8}" scale="60" hiddenRows="1" hiddenColumns="1" topLeftCell="Y1">
      <selection activeCell="Y43" sqref="Y43"/>
      <pageMargins left="0.2" right="0.2" top="0.25" bottom="0.25" header="0.3" footer="0.3"/>
      <pageSetup paperSize="17" scale="62" fitToHeight="2" orientation="portrait" r:id="rId2"/>
    </customSheetView>
  </customSheetViews>
  <mergeCells count="7">
    <mergeCell ref="C19:O19"/>
    <mergeCell ref="J20:O20"/>
    <mergeCell ref="A20:A21"/>
    <mergeCell ref="C20:D20"/>
    <mergeCell ref="E20:F20"/>
    <mergeCell ref="G20:I20"/>
    <mergeCell ref="B20:B21"/>
  </mergeCells>
  <pageMargins left="0.2" right="0.2" top="0.25" bottom="0.25" header="0.3" footer="0.3"/>
  <pageSetup paperSize="17" scale="62" fitToHeight="2" orientation="portrait" r:id="rId3"/>
  <legacyDrawing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pageSetUpPr fitToPage="1"/>
  </sheetPr>
  <dimension ref="A2:R73"/>
  <sheetViews>
    <sheetView zoomScale="40" zoomScaleNormal="40" zoomScaleSheetLayoutView="40" workbookViewId="0">
      <selection activeCell="F69" sqref="F69"/>
    </sheetView>
  </sheetViews>
  <sheetFormatPr defaultRowHeight="12.75" x14ac:dyDescent="0.2"/>
  <cols>
    <col min="1" max="1" width="54" customWidth="1"/>
    <col min="2" max="2" width="10.7109375" customWidth="1"/>
    <col min="3" max="3" width="15.28515625" customWidth="1"/>
    <col min="4" max="4" width="3" customWidth="1"/>
    <col min="5" max="5" width="27.28515625" bestFit="1" customWidth="1"/>
    <col min="6" max="6" width="14.5703125" bestFit="1" customWidth="1"/>
    <col min="7" max="13" width="9.85546875" bestFit="1" customWidth="1"/>
    <col min="14" max="14" width="11.7109375" bestFit="1" customWidth="1"/>
    <col min="15" max="15" width="9.85546875" bestFit="1" customWidth="1"/>
    <col min="16" max="17" width="11" bestFit="1" customWidth="1"/>
  </cols>
  <sheetData>
    <row r="2" spans="1:17" ht="20.25" x14ac:dyDescent="0.3">
      <c r="A2" s="147" t="str">
        <f>'1. Building Information'!B53</f>
        <v>SITE: Project Name -- Project Address</v>
      </c>
    </row>
    <row r="3" spans="1:17" ht="15" x14ac:dyDescent="0.25">
      <c r="A3" s="46" t="s">
        <v>261</v>
      </c>
      <c r="B3" s="46" t="s">
        <v>262</v>
      </c>
      <c r="C3" s="46" t="s">
        <v>263</v>
      </c>
      <c r="D3" s="148"/>
      <c r="E3" s="109" t="s">
        <v>20</v>
      </c>
      <c r="F3" s="46" t="s">
        <v>28</v>
      </c>
      <c r="G3" s="46" t="s">
        <v>29</v>
      </c>
      <c r="H3" s="46" t="s">
        <v>30</v>
      </c>
      <c r="I3" s="46" t="s">
        <v>31</v>
      </c>
      <c r="J3" s="46" t="s">
        <v>32</v>
      </c>
      <c r="K3" s="46" t="s">
        <v>33</v>
      </c>
      <c r="L3" s="46" t="s">
        <v>8</v>
      </c>
      <c r="M3" s="46" t="s">
        <v>9</v>
      </c>
      <c r="N3" s="46" t="s">
        <v>0</v>
      </c>
      <c r="O3" s="46" t="s">
        <v>2</v>
      </c>
      <c r="P3" s="46" t="s">
        <v>3</v>
      </c>
      <c r="Q3" s="46" t="s">
        <v>4</v>
      </c>
    </row>
    <row r="4" spans="1:17" ht="15" x14ac:dyDescent="0.25">
      <c r="A4" s="76" t="s">
        <v>102</v>
      </c>
      <c r="B4" s="77">
        <f>'7. Project Definition'!D118</f>
        <v>0</v>
      </c>
      <c r="C4" s="76"/>
      <c r="D4" s="149"/>
      <c r="E4" s="20">
        <f t="shared" ref="E4:E7" si="0">SUM(F4:Q4)</f>
        <v>0</v>
      </c>
      <c r="F4" s="77">
        <f>$B$4/12</f>
        <v>0</v>
      </c>
      <c r="G4" s="77">
        <f t="shared" ref="G4:Q4" si="1">$B$4/12</f>
        <v>0</v>
      </c>
      <c r="H4" s="77">
        <f t="shared" si="1"/>
        <v>0</v>
      </c>
      <c r="I4" s="77">
        <f t="shared" si="1"/>
        <v>0</v>
      </c>
      <c r="J4" s="77">
        <f t="shared" si="1"/>
        <v>0</v>
      </c>
      <c r="K4" s="77">
        <f t="shared" si="1"/>
        <v>0</v>
      </c>
      <c r="L4" s="77">
        <f t="shared" si="1"/>
        <v>0</v>
      </c>
      <c r="M4" s="77">
        <f t="shared" si="1"/>
        <v>0</v>
      </c>
      <c r="N4" s="77">
        <f t="shared" si="1"/>
        <v>0</v>
      </c>
      <c r="O4" s="77">
        <f t="shared" si="1"/>
        <v>0</v>
      </c>
      <c r="P4" s="77">
        <f t="shared" si="1"/>
        <v>0</v>
      </c>
      <c r="Q4" s="77">
        <f t="shared" si="1"/>
        <v>0</v>
      </c>
    </row>
    <row r="5" spans="1:17" ht="15" x14ac:dyDescent="0.25">
      <c r="A5" s="76" t="s">
        <v>177</v>
      </c>
      <c r="B5" s="77">
        <f>IF(SUM('Supply-Demand by Month'!F5:Q5)=Rainwater!B41, 'Supply-Demand by Month'!E5, 0)</f>
        <v>0</v>
      </c>
      <c r="C5" s="76"/>
      <c r="D5" s="149"/>
      <c r="E5" s="20">
        <f t="shared" si="0"/>
        <v>0</v>
      </c>
      <c r="F5" s="77">
        <f>IF('7. Project Definition'!$C$130="Yes",Rainwater!C38,0)</f>
        <v>0</v>
      </c>
      <c r="G5" s="77">
        <f>IF('7. Project Definition'!$C$130="Yes",Rainwater!D38,0)</f>
        <v>0</v>
      </c>
      <c r="H5" s="77">
        <f>IF('7. Project Definition'!$C$130="Yes",Rainwater!E38,0)</f>
        <v>0</v>
      </c>
      <c r="I5" s="77">
        <f>IF('7. Project Definition'!$C$130="Yes",Rainwater!F38,0)</f>
        <v>0</v>
      </c>
      <c r="J5" s="77">
        <f>IF('7. Project Definition'!$C$130="Yes",Rainwater!G38,0)</f>
        <v>0</v>
      </c>
      <c r="K5" s="77">
        <f>IF('7. Project Definition'!$C$130="Yes",Rainwater!H38,0)</f>
        <v>0</v>
      </c>
      <c r="L5" s="77">
        <f>IF('7. Project Definition'!$C$130="Yes",Rainwater!I38,0)</f>
        <v>0</v>
      </c>
      <c r="M5" s="77">
        <f>IF('7. Project Definition'!$C$130="Yes",Rainwater!J38,0)</f>
        <v>0</v>
      </c>
      <c r="N5" s="77">
        <f>IF('7. Project Definition'!$C$130="Yes",Rainwater!K38,0)</f>
        <v>0</v>
      </c>
      <c r="O5" s="77">
        <f>IF('7. Project Definition'!$C$130="Yes",Rainwater!L38,0)</f>
        <v>0</v>
      </c>
      <c r="P5" s="77">
        <f>IF('7. Project Definition'!$C$130="Yes",Rainwater!M38,0)</f>
        <v>0</v>
      </c>
      <c r="Q5" s="77">
        <f>IF('7. Project Definition'!$C$130="Yes",Rainwater!N38,0)</f>
        <v>0</v>
      </c>
    </row>
    <row r="6" spans="1:17" ht="15" x14ac:dyDescent="0.25">
      <c r="A6" s="76" t="s">
        <v>127</v>
      </c>
      <c r="B6" s="77">
        <f>'7. Project Definition'!D119</f>
        <v>0</v>
      </c>
      <c r="C6" s="76"/>
      <c r="D6" s="149"/>
      <c r="E6" s="20">
        <f t="shared" si="0"/>
        <v>0</v>
      </c>
      <c r="F6" s="77">
        <f>$B$6/12</f>
        <v>0</v>
      </c>
      <c r="G6" s="77">
        <f t="shared" ref="G6:Q6" si="2">$B$6/12</f>
        <v>0</v>
      </c>
      <c r="H6" s="77">
        <f t="shared" si="2"/>
        <v>0</v>
      </c>
      <c r="I6" s="77">
        <f t="shared" si="2"/>
        <v>0</v>
      </c>
      <c r="J6" s="77">
        <f t="shared" si="2"/>
        <v>0</v>
      </c>
      <c r="K6" s="77">
        <f t="shared" si="2"/>
        <v>0</v>
      </c>
      <c r="L6" s="77">
        <f t="shared" si="2"/>
        <v>0</v>
      </c>
      <c r="M6" s="77">
        <f t="shared" si="2"/>
        <v>0</v>
      </c>
      <c r="N6" s="77">
        <f t="shared" si="2"/>
        <v>0</v>
      </c>
      <c r="O6" s="77">
        <f t="shared" si="2"/>
        <v>0</v>
      </c>
      <c r="P6" s="77">
        <f t="shared" si="2"/>
        <v>0</v>
      </c>
      <c r="Q6" s="77">
        <f t="shared" si="2"/>
        <v>0</v>
      </c>
    </row>
    <row r="7" spans="1:17" ht="15.75" thickBot="1" x14ac:dyDescent="0.3">
      <c r="A7" s="119" t="s">
        <v>488</v>
      </c>
      <c r="B7" s="120">
        <f>'7. Project Definition'!D121</f>
        <v>0</v>
      </c>
      <c r="C7" s="119"/>
      <c r="D7" s="149"/>
      <c r="E7" s="121">
        <f t="shared" si="0"/>
        <v>0</v>
      </c>
      <c r="F7" s="120">
        <f>$B$7/12</f>
        <v>0</v>
      </c>
      <c r="G7" s="120">
        <f t="shared" ref="G7:Q7" si="3">$B$7/12</f>
        <v>0</v>
      </c>
      <c r="H7" s="120">
        <f t="shared" si="3"/>
        <v>0</v>
      </c>
      <c r="I7" s="120">
        <f t="shared" si="3"/>
        <v>0</v>
      </c>
      <c r="J7" s="120">
        <f t="shared" si="3"/>
        <v>0</v>
      </c>
      <c r="K7" s="120">
        <f t="shared" si="3"/>
        <v>0</v>
      </c>
      <c r="L7" s="120">
        <f t="shared" si="3"/>
        <v>0</v>
      </c>
      <c r="M7" s="120">
        <f t="shared" si="3"/>
        <v>0</v>
      </c>
      <c r="N7" s="120">
        <f t="shared" si="3"/>
        <v>0</v>
      </c>
      <c r="O7" s="120">
        <f t="shared" si="3"/>
        <v>0</v>
      </c>
      <c r="P7" s="120">
        <f t="shared" si="3"/>
        <v>0</v>
      </c>
      <c r="Q7" s="120">
        <f t="shared" si="3"/>
        <v>0</v>
      </c>
    </row>
    <row r="8" spans="1:17" ht="15" x14ac:dyDescent="0.25">
      <c r="A8" s="117" t="s">
        <v>264</v>
      </c>
      <c r="B8" s="117"/>
      <c r="C8" s="118">
        <f>'7. Project Definition'!D25+'7. Project Definition'!D26+'7. Project Definition'!D30</f>
        <v>0</v>
      </c>
      <c r="D8" s="149"/>
      <c r="E8" s="118">
        <f t="shared" ref="E8:E13" si="4">SUM(F8:Q8)</f>
        <v>0</v>
      </c>
      <c r="F8" s="118">
        <f>$C$8/12</f>
        <v>0</v>
      </c>
      <c r="G8" s="118">
        <f t="shared" ref="G8:Q8" si="5">$C$8/12</f>
        <v>0</v>
      </c>
      <c r="H8" s="118">
        <f t="shared" si="5"/>
        <v>0</v>
      </c>
      <c r="I8" s="118">
        <f t="shared" si="5"/>
        <v>0</v>
      </c>
      <c r="J8" s="118">
        <f t="shared" si="5"/>
        <v>0</v>
      </c>
      <c r="K8" s="118">
        <f t="shared" si="5"/>
        <v>0</v>
      </c>
      <c r="L8" s="118">
        <f t="shared" si="5"/>
        <v>0</v>
      </c>
      <c r="M8" s="118">
        <f t="shared" si="5"/>
        <v>0</v>
      </c>
      <c r="N8" s="118">
        <f t="shared" si="5"/>
        <v>0</v>
      </c>
      <c r="O8" s="118">
        <f t="shared" si="5"/>
        <v>0</v>
      </c>
      <c r="P8" s="118">
        <f t="shared" si="5"/>
        <v>0</v>
      </c>
      <c r="Q8" s="118">
        <f t="shared" si="5"/>
        <v>0</v>
      </c>
    </row>
    <row r="9" spans="1:17" ht="15" x14ac:dyDescent="0.25">
      <c r="A9" s="78" t="s">
        <v>241</v>
      </c>
      <c r="B9" s="78"/>
      <c r="C9" s="79">
        <f>'7. Project Definition'!D46</f>
        <v>0</v>
      </c>
      <c r="D9" s="149"/>
      <c r="E9" s="118">
        <f t="shared" si="4"/>
        <v>0</v>
      </c>
      <c r="F9" s="79">
        <f>IF('7. Project Definition'!$C$46="Yes",'4. Outdoor Water Demand'!C91,0)</f>
        <v>0</v>
      </c>
      <c r="G9" s="79">
        <f>IF('7. Project Definition'!$C$46="Yes",'4. Outdoor Water Demand'!D91,0)</f>
        <v>0</v>
      </c>
      <c r="H9" s="79">
        <f>IF('7. Project Definition'!$C$46="Yes",'4. Outdoor Water Demand'!E91,0)</f>
        <v>0</v>
      </c>
      <c r="I9" s="79">
        <f>IF('7. Project Definition'!$C$46="Yes",'4. Outdoor Water Demand'!F91,0)</f>
        <v>0</v>
      </c>
      <c r="J9" s="79">
        <f>IF('7. Project Definition'!$C$46="Yes",'4. Outdoor Water Demand'!G91,0)</f>
        <v>0</v>
      </c>
      <c r="K9" s="79">
        <f>IF('7. Project Definition'!$C$46="Yes",'4. Outdoor Water Demand'!H91,0)</f>
        <v>0</v>
      </c>
      <c r="L9" s="79">
        <f>IF('7. Project Definition'!$C$46="Yes",'4. Outdoor Water Demand'!I91,0)</f>
        <v>0</v>
      </c>
      <c r="M9" s="79">
        <f>IF('7. Project Definition'!$C$46="Yes",'4. Outdoor Water Demand'!J91,0)</f>
        <v>0</v>
      </c>
      <c r="N9" s="79">
        <f>IF('7. Project Definition'!$C$46="Yes",'4. Outdoor Water Demand'!K91,0)</f>
        <v>0</v>
      </c>
      <c r="O9" s="79">
        <f>IF('7. Project Definition'!$C$46="Yes",'4. Outdoor Water Demand'!L91,0)</f>
        <v>0</v>
      </c>
      <c r="P9" s="79">
        <f>IF('7. Project Definition'!$C$46="Yes",'4. Outdoor Water Demand'!M91,0)</f>
        <v>0</v>
      </c>
      <c r="Q9" s="79">
        <f>IF('7. Project Definition'!$C$46="Yes",'4. Outdoor Water Demand'!N91,0)</f>
        <v>0</v>
      </c>
    </row>
    <row r="10" spans="1:17" ht="15" x14ac:dyDescent="0.25">
      <c r="A10" s="78" t="s">
        <v>132</v>
      </c>
      <c r="B10" s="78"/>
      <c r="C10" s="79">
        <f>'7. Project Definition'!D34</f>
        <v>0</v>
      </c>
      <c r="D10" s="149"/>
      <c r="E10" s="118">
        <f t="shared" si="4"/>
        <v>0</v>
      </c>
      <c r="F10" s="79">
        <f>IF('7. Project Definition'!$C$34="Yes",'2. Indoor Water Demand'!H79,0)</f>
        <v>0</v>
      </c>
      <c r="G10" s="79">
        <f>IF('7. Project Definition'!$C$34="Yes",'2. Indoor Water Demand'!I79,0)</f>
        <v>0</v>
      </c>
      <c r="H10" s="79">
        <f>IF('7. Project Definition'!$C$34="Yes",'2. Indoor Water Demand'!J79,0)</f>
        <v>0</v>
      </c>
      <c r="I10" s="79">
        <f>IF('7. Project Definition'!$C$34="Yes",'2. Indoor Water Demand'!K79,0)</f>
        <v>0</v>
      </c>
      <c r="J10" s="79">
        <f>IF('7. Project Definition'!$C$34="Yes",'2. Indoor Water Demand'!L79,0)</f>
        <v>0</v>
      </c>
      <c r="K10" s="79">
        <f>IF('7. Project Definition'!$C$34="Yes",'2. Indoor Water Demand'!M79,0)</f>
        <v>0</v>
      </c>
      <c r="L10" s="79">
        <f>IF('7. Project Definition'!$C$34="Yes",'2. Indoor Water Demand'!N79,0)</f>
        <v>0</v>
      </c>
      <c r="M10" s="79">
        <f>IF('7. Project Definition'!$C$34="Yes",'2. Indoor Water Demand'!O79,0)</f>
        <v>0</v>
      </c>
      <c r="N10" s="79">
        <f>IF('7. Project Definition'!$C$34="Yes",'2. Indoor Water Demand'!P79,0)</f>
        <v>0</v>
      </c>
      <c r="O10" s="79">
        <f>IF('7. Project Definition'!$C$34="Yes",'2. Indoor Water Demand'!Q79,0)</f>
        <v>0</v>
      </c>
      <c r="P10" s="79">
        <f>IF('7. Project Definition'!$C$34="Yes",'2. Indoor Water Demand'!R79,0)</f>
        <v>0</v>
      </c>
      <c r="Q10" s="79">
        <f>IF('7. Project Definition'!$C$34="Yes",'2. Indoor Water Demand'!S79,0)</f>
        <v>0</v>
      </c>
    </row>
    <row r="11" spans="1:17" ht="15" x14ac:dyDescent="0.25">
      <c r="A11" s="78" t="s">
        <v>233</v>
      </c>
      <c r="B11" s="78"/>
      <c r="C11" s="79">
        <f>'7. Project Definition'!D37+'7. Project Definition'!D50</f>
        <v>0</v>
      </c>
      <c r="D11" s="149"/>
      <c r="E11" s="118">
        <f t="shared" si="4"/>
        <v>0</v>
      </c>
      <c r="F11" s="79">
        <f>$C$11/12</f>
        <v>0</v>
      </c>
      <c r="G11" s="79">
        <f t="shared" ref="G11:Q11" si="6">$C$11/12</f>
        <v>0</v>
      </c>
      <c r="H11" s="79">
        <f t="shared" si="6"/>
        <v>0</v>
      </c>
      <c r="I11" s="79">
        <f t="shared" si="6"/>
        <v>0</v>
      </c>
      <c r="J11" s="79">
        <f t="shared" si="6"/>
        <v>0</v>
      </c>
      <c r="K11" s="79">
        <f t="shared" si="6"/>
        <v>0</v>
      </c>
      <c r="L11" s="79">
        <f t="shared" si="6"/>
        <v>0</v>
      </c>
      <c r="M11" s="79">
        <f t="shared" si="6"/>
        <v>0</v>
      </c>
      <c r="N11" s="79">
        <f t="shared" si="6"/>
        <v>0</v>
      </c>
      <c r="O11" s="79">
        <f t="shared" si="6"/>
        <v>0</v>
      </c>
      <c r="P11" s="79">
        <f t="shared" si="6"/>
        <v>0</v>
      </c>
      <c r="Q11" s="79">
        <f t="shared" si="6"/>
        <v>0</v>
      </c>
    </row>
    <row r="12" spans="1:17" ht="15" x14ac:dyDescent="0.25">
      <c r="A12" s="78" t="s">
        <v>120</v>
      </c>
      <c r="B12" s="78"/>
      <c r="C12" s="79">
        <f>'7. Project Definition'!D38</f>
        <v>0</v>
      </c>
      <c r="D12" s="149"/>
      <c r="E12" s="118">
        <f t="shared" si="4"/>
        <v>0</v>
      </c>
      <c r="F12" s="79">
        <f>$C$12/12</f>
        <v>0</v>
      </c>
      <c r="G12" s="79">
        <f t="shared" ref="G12:Q12" si="7">$C$12/12</f>
        <v>0</v>
      </c>
      <c r="H12" s="79">
        <f t="shared" si="7"/>
        <v>0</v>
      </c>
      <c r="I12" s="79">
        <f t="shared" si="7"/>
        <v>0</v>
      </c>
      <c r="J12" s="79">
        <f t="shared" si="7"/>
        <v>0</v>
      </c>
      <c r="K12" s="79">
        <f t="shared" si="7"/>
        <v>0</v>
      </c>
      <c r="L12" s="79">
        <f t="shared" si="7"/>
        <v>0</v>
      </c>
      <c r="M12" s="79">
        <f t="shared" si="7"/>
        <v>0</v>
      </c>
      <c r="N12" s="79">
        <f t="shared" si="7"/>
        <v>0</v>
      </c>
      <c r="O12" s="79">
        <f t="shared" si="7"/>
        <v>0</v>
      </c>
      <c r="P12" s="79">
        <f t="shared" si="7"/>
        <v>0</v>
      </c>
      <c r="Q12" s="79">
        <f t="shared" si="7"/>
        <v>0</v>
      </c>
    </row>
    <row r="13" spans="1:17" ht="15" x14ac:dyDescent="0.25">
      <c r="A13" s="78" t="s">
        <v>494</v>
      </c>
      <c r="B13" s="78"/>
      <c r="C13" s="79">
        <f>'7. Project Definition'!D39+'7. Project Definition'!D51</f>
        <v>0</v>
      </c>
      <c r="D13" s="149"/>
      <c r="E13" s="118">
        <f t="shared" si="4"/>
        <v>0</v>
      </c>
      <c r="F13" s="79">
        <f>$C$13/12</f>
        <v>0</v>
      </c>
      <c r="G13" s="79">
        <f t="shared" ref="G13:Q13" si="8">$C$13/12</f>
        <v>0</v>
      </c>
      <c r="H13" s="79">
        <f t="shared" si="8"/>
        <v>0</v>
      </c>
      <c r="I13" s="79">
        <f t="shared" si="8"/>
        <v>0</v>
      </c>
      <c r="J13" s="79">
        <f t="shared" si="8"/>
        <v>0</v>
      </c>
      <c r="K13" s="79">
        <f t="shared" si="8"/>
        <v>0</v>
      </c>
      <c r="L13" s="79">
        <f t="shared" si="8"/>
        <v>0</v>
      </c>
      <c r="M13" s="79">
        <f t="shared" si="8"/>
        <v>0</v>
      </c>
      <c r="N13" s="79">
        <f t="shared" si="8"/>
        <v>0</v>
      </c>
      <c r="O13" s="79">
        <f t="shared" si="8"/>
        <v>0</v>
      </c>
      <c r="P13" s="79">
        <f t="shared" si="8"/>
        <v>0</v>
      </c>
      <c r="Q13" s="79">
        <f t="shared" si="8"/>
        <v>0</v>
      </c>
    </row>
    <row r="14" spans="1:17" ht="15" x14ac:dyDescent="0.25">
      <c r="A14" s="108"/>
      <c r="B14" s="108"/>
      <c r="C14" s="108"/>
      <c r="D14" s="148"/>
      <c r="E14" s="23"/>
      <c r="F14" s="108"/>
      <c r="G14" s="108"/>
      <c r="H14" s="108"/>
      <c r="I14" s="108"/>
      <c r="J14" s="108"/>
      <c r="K14" s="108"/>
      <c r="L14" s="108"/>
      <c r="M14" s="108"/>
      <c r="N14" s="108"/>
      <c r="O14" s="108"/>
      <c r="P14" s="108"/>
      <c r="Q14" s="108"/>
    </row>
    <row r="15" spans="1:17" ht="15" x14ac:dyDescent="0.25">
      <c r="A15" s="46" t="s">
        <v>261</v>
      </c>
      <c r="B15" s="46" t="s">
        <v>262</v>
      </c>
      <c r="C15" s="46" t="s">
        <v>263</v>
      </c>
      <c r="D15" s="148"/>
      <c r="E15" s="109" t="s">
        <v>20</v>
      </c>
      <c r="F15" s="46" t="s">
        <v>28</v>
      </c>
      <c r="G15" s="46" t="s">
        <v>29</v>
      </c>
      <c r="H15" s="46" t="s">
        <v>30</v>
      </c>
      <c r="I15" s="46" t="s">
        <v>31</v>
      </c>
      <c r="J15" s="46" t="s">
        <v>32</v>
      </c>
      <c r="K15" s="46" t="s">
        <v>33</v>
      </c>
      <c r="L15" s="46" t="s">
        <v>8</v>
      </c>
      <c r="M15" s="46" t="s">
        <v>9</v>
      </c>
      <c r="N15" s="46" t="s">
        <v>0</v>
      </c>
      <c r="O15" s="46" t="s">
        <v>2</v>
      </c>
      <c r="P15" s="46" t="s">
        <v>3</v>
      </c>
      <c r="Q15" s="46" t="s">
        <v>4</v>
      </c>
    </row>
    <row r="16" spans="1:17" ht="15" x14ac:dyDescent="0.25">
      <c r="A16" s="76" t="s">
        <v>378</v>
      </c>
      <c r="B16" s="77"/>
      <c r="C16" s="76"/>
      <c r="D16" s="150"/>
      <c r="E16" s="20">
        <f>SUM(F16:Q16)</f>
        <v>0</v>
      </c>
      <c r="F16" s="77">
        <f t="shared" ref="F16:Q16" si="9">SUM(F4:F7)</f>
        <v>0</v>
      </c>
      <c r="G16" s="77">
        <f t="shared" si="9"/>
        <v>0</v>
      </c>
      <c r="H16" s="77">
        <f t="shared" si="9"/>
        <v>0</v>
      </c>
      <c r="I16" s="77">
        <f t="shared" si="9"/>
        <v>0</v>
      </c>
      <c r="J16" s="77">
        <f t="shared" si="9"/>
        <v>0</v>
      </c>
      <c r="K16" s="77">
        <f t="shared" si="9"/>
        <v>0</v>
      </c>
      <c r="L16" s="77">
        <f t="shared" si="9"/>
        <v>0</v>
      </c>
      <c r="M16" s="77">
        <f t="shared" si="9"/>
        <v>0</v>
      </c>
      <c r="N16" s="77">
        <f t="shared" si="9"/>
        <v>0</v>
      </c>
      <c r="O16" s="77">
        <f t="shared" si="9"/>
        <v>0</v>
      </c>
      <c r="P16" s="77">
        <f t="shared" si="9"/>
        <v>0</v>
      </c>
      <c r="Q16" s="77">
        <f t="shared" si="9"/>
        <v>0</v>
      </c>
    </row>
    <row r="17" spans="1:18" ht="15" x14ac:dyDescent="0.25">
      <c r="A17" s="78" t="s">
        <v>379</v>
      </c>
      <c r="B17" s="78"/>
      <c r="C17" s="79">
        <f>'7. Project Definition'!D42+'7. Project Definition'!D54</f>
        <v>0</v>
      </c>
      <c r="D17" s="150"/>
      <c r="E17" s="124">
        <f>SUM(F17:Q17)</f>
        <v>0</v>
      </c>
      <c r="F17" s="79">
        <f>SUM(F8:F13)</f>
        <v>0</v>
      </c>
      <c r="G17" s="79">
        <f t="shared" ref="G17:Q17" si="10">SUM(G8:G13)</f>
        <v>0</v>
      </c>
      <c r="H17" s="79">
        <f t="shared" si="10"/>
        <v>0</v>
      </c>
      <c r="I17" s="79">
        <f t="shared" si="10"/>
        <v>0</v>
      </c>
      <c r="J17" s="79">
        <f t="shared" si="10"/>
        <v>0</v>
      </c>
      <c r="K17" s="79">
        <f t="shared" si="10"/>
        <v>0</v>
      </c>
      <c r="L17" s="79">
        <f t="shared" si="10"/>
        <v>0</v>
      </c>
      <c r="M17" s="79">
        <f t="shared" si="10"/>
        <v>0</v>
      </c>
      <c r="N17" s="79">
        <f t="shared" si="10"/>
        <v>0</v>
      </c>
      <c r="O17" s="79">
        <f t="shared" si="10"/>
        <v>0</v>
      </c>
      <c r="P17" s="79">
        <f t="shared" si="10"/>
        <v>0</v>
      </c>
      <c r="Q17" s="79">
        <f t="shared" si="10"/>
        <v>0</v>
      </c>
    </row>
    <row r="18" spans="1:18" ht="15" x14ac:dyDescent="0.25">
      <c r="A18" s="78" t="s">
        <v>380</v>
      </c>
      <c r="B18" s="78"/>
      <c r="C18" s="79">
        <f>SUM('6. Building Potential Summary'!F22,'6. Building Potential Summary'!F31,'6. Building Potential Summary'!F34,'6. Building Potential Summary'!F39,'6. Building Potential Summary'!F44)</f>
        <v>0</v>
      </c>
      <c r="D18" s="150"/>
      <c r="E18" s="124">
        <f>SUM(F18:Q18)</f>
        <v>0</v>
      </c>
      <c r="F18" s="79">
        <f>(('6. Building Potential Summary'!$F$22+'6. Building Potential Summary'!$F$31)/12)+('2. Indoor Water Demand'!H79)+('6. Building Potential Summary'!$F$39/12)+'4. Outdoor Water Demand'!C91+(('6. Building Potential Summary'!$F$42+'6. Building Potential Summary'!$F$43)/12)</f>
        <v>0</v>
      </c>
      <c r="G18" s="79">
        <f>(('6. Building Potential Summary'!$F$22+'6. Building Potential Summary'!$F$31)/12)+('2. Indoor Water Demand'!I79)+('6. Building Potential Summary'!$F$39/12)+'4. Outdoor Water Demand'!D91+(('6. Building Potential Summary'!$F$42+'6. Building Potential Summary'!$F$43)/12)</f>
        <v>0</v>
      </c>
      <c r="H18" s="79">
        <f>(('6. Building Potential Summary'!$F$22+'6. Building Potential Summary'!$F$31)/12)+('2. Indoor Water Demand'!J79)+('6. Building Potential Summary'!$F$39/12)+'4. Outdoor Water Demand'!E91+(('6. Building Potential Summary'!$F$42+'6. Building Potential Summary'!$F$43)/12)</f>
        <v>0</v>
      </c>
      <c r="I18" s="79">
        <f>(('6. Building Potential Summary'!$F$22+'6. Building Potential Summary'!$F$31)/12)+('2. Indoor Water Demand'!K79)+('6. Building Potential Summary'!$F$39/12)+'4. Outdoor Water Demand'!F91+(('6. Building Potential Summary'!$F$42+'6. Building Potential Summary'!$F$43)/12)</f>
        <v>0</v>
      </c>
      <c r="J18" s="79">
        <f>(('6. Building Potential Summary'!$F$22+'6. Building Potential Summary'!$F$31)/12)+('2. Indoor Water Demand'!L79)+('6. Building Potential Summary'!$F$39/12)+'4. Outdoor Water Demand'!G91+(('6. Building Potential Summary'!$F$42+'6. Building Potential Summary'!$F$43)/12)</f>
        <v>0</v>
      </c>
      <c r="K18" s="79">
        <f>(('6. Building Potential Summary'!$F$22+'6. Building Potential Summary'!$F$31)/12)+('2. Indoor Water Demand'!M79)+('6. Building Potential Summary'!$F$39/12)+'4. Outdoor Water Demand'!H91+(('6. Building Potential Summary'!$F$42+'6. Building Potential Summary'!$F$43)/12)</f>
        <v>0</v>
      </c>
      <c r="L18" s="79">
        <f>(('6. Building Potential Summary'!$F$22+'6. Building Potential Summary'!$F$31)/12)+('2. Indoor Water Demand'!N79)+('6. Building Potential Summary'!$F$39/12)+'4. Outdoor Water Demand'!I91+(('6. Building Potential Summary'!$F$42+'6. Building Potential Summary'!$F$43)/12)</f>
        <v>0</v>
      </c>
      <c r="M18" s="79">
        <f>(('6. Building Potential Summary'!$F$22+'6. Building Potential Summary'!$F$31)/12)+('2. Indoor Water Demand'!O79)+('6. Building Potential Summary'!$F$39/12)+'4. Outdoor Water Demand'!J91+(('6. Building Potential Summary'!$F$42+'6. Building Potential Summary'!$F$43)/12)</f>
        <v>0</v>
      </c>
      <c r="N18" s="79">
        <f>(('6. Building Potential Summary'!$F$22+'6. Building Potential Summary'!$F$31)/12)+('2. Indoor Water Demand'!P79)+('6. Building Potential Summary'!$F$39/12)+'4. Outdoor Water Demand'!K91+(('6. Building Potential Summary'!$F$42+'6. Building Potential Summary'!$F$43)/12)</f>
        <v>0</v>
      </c>
      <c r="O18" s="79">
        <f>(('6. Building Potential Summary'!$F$22+'6. Building Potential Summary'!$F$31)/12)+('2. Indoor Water Demand'!Q79)+('6. Building Potential Summary'!$F$39/12)+'4. Outdoor Water Demand'!L91+(('6. Building Potential Summary'!$F$42+'6. Building Potential Summary'!$F$43)/12)</f>
        <v>0</v>
      </c>
      <c r="P18" s="79">
        <f>(('6. Building Potential Summary'!$F$22+'6. Building Potential Summary'!$F$31)/12)+('2. Indoor Water Demand'!R79)+('6. Building Potential Summary'!$F$39/12)+'4. Outdoor Water Demand'!M91+(('6. Building Potential Summary'!$F$42+'6. Building Potential Summary'!$F$43)/12)</f>
        <v>0</v>
      </c>
      <c r="Q18" s="79">
        <f>(('6. Building Potential Summary'!$F$22+'6. Building Potential Summary'!$F$31)/12)+('2. Indoor Water Demand'!S79)+('6. Building Potential Summary'!$F$39/12)+'4. Outdoor Water Demand'!N91+(('6. Building Potential Summary'!$F$42+'6. Building Potential Summary'!$F$43)/12)</f>
        <v>0</v>
      </c>
    </row>
    <row r="19" spans="1:18" ht="45" x14ac:dyDescent="0.25">
      <c r="A19" s="30" t="s">
        <v>522</v>
      </c>
      <c r="B19" s="46"/>
      <c r="C19" s="46"/>
      <c r="D19" s="151"/>
      <c r="E19" s="154">
        <f>SUM(F19:Q19)</f>
        <v>0</v>
      </c>
      <c r="F19" s="34">
        <f t="shared" ref="F19:Q19" si="11">IF(F16&gt;=F17,F18-F17,F18-F16)</f>
        <v>0</v>
      </c>
      <c r="G19" s="34">
        <f t="shared" si="11"/>
        <v>0</v>
      </c>
      <c r="H19" s="34">
        <f t="shared" si="11"/>
        <v>0</v>
      </c>
      <c r="I19" s="34">
        <f t="shared" si="11"/>
        <v>0</v>
      </c>
      <c r="J19" s="34">
        <f t="shared" si="11"/>
        <v>0</v>
      </c>
      <c r="K19" s="34">
        <f t="shared" si="11"/>
        <v>0</v>
      </c>
      <c r="L19" s="34">
        <f t="shared" si="11"/>
        <v>0</v>
      </c>
      <c r="M19" s="34">
        <f t="shared" si="11"/>
        <v>0</v>
      </c>
      <c r="N19" s="34">
        <f t="shared" si="11"/>
        <v>0</v>
      </c>
      <c r="O19" s="34">
        <f t="shared" si="11"/>
        <v>0</v>
      </c>
      <c r="P19" s="34">
        <f t="shared" si="11"/>
        <v>0</v>
      </c>
      <c r="Q19" s="34">
        <f t="shared" si="11"/>
        <v>0</v>
      </c>
    </row>
    <row r="20" spans="1:18" ht="15" x14ac:dyDescent="0.25">
      <c r="A20" s="46" t="s">
        <v>327</v>
      </c>
      <c r="B20" s="46"/>
      <c r="C20" s="46"/>
      <c r="D20" s="151"/>
      <c r="E20" s="154">
        <f t="shared" ref="E20:E21" si="12">SUM(F20:Q20)</f>
        <v>0</v>
      </c>
      <c r="F20" s="34">
        <f t="shared" ref="F20:Q20" si="13">IF(F16-F17&lt;0,0,F16-F17)</f>
        <v>0</v>
      </c>
      <c r="G20" s="34">
        <f t="shared" si="13"/>
        <v>0</v>
      </c>
      <c r="H20" s="34">
        <f t="shared" si="13"/>
        <v>0</v>
      </c>
      <c r="I20" s="34">
        <f t="shared" si="13"/>
        <v>0</v>
      </c>
      <c r="J20" s="34">
        <f t="shared" si="13"/>
        <v>0</v>
      </c>
      <c r="K20" s="34">
        <f t="shared" si="13"/>
        <v>0</v>
      </c>
      <c r="L20" s="34">
        <f t="shared" si="13"/>
        <v>0</v>
      </c>
      <c r="M20" s="34">
        <f t="shared" si="13"/>
        <v>0</v>
      </c>
      <c r="N20" s="34">
        <f t="shared" si="13"/>
        <v>0</v>
      </c>
      <c r="O20" s="34">
        <f t="shared" si="13"/>
        <v>0</v>
      </c>
      <c r="P20" s="34">
        <f t="shared" si="13"/>
        <v>0</v>
      </c>
      <c r="Q20" s="34">
        <f t="shared" si="13"/>
        <v>0</v>
      </c>
    </row>
    <row r="21" spans="1:18" ht="15" x14ac:dyDescent="0.25">
      <c r="A21" s="144" t="s">
        <v>523</v>
      </c>
      <c r="B21" s="144"/>
      <c r="C21" s="144"/>
      <c r="D21" s="151"/>
      <c r="E21" s="154">
        <f t="shared" si="12"/>
        <v>0</v>
      </c>
      <c r="F21" s="34">
        <f t="shared" ref="F21:Q21" si="14">IF(F16&gt;=F17,F17,F16)</f>
        <v>0</v>
      </c>
      <c r="G21" s="34">
        <f t="shared" si="14"/>
        <v>0</v>
      </c>
      <c r="H21" s="34">
        <f t="shared" si="14"/>
        <v>0</v>
      </c>
      <c r="I21" s="34">
        <f t="shared" si="14"/>
        <v>0</v>
      </c>
      <c r="J21" s="34">
        <f t="shared" si="14"/>
        <v>0</v>
      </c>
      <c r="K21" s="34">
        <f t="shared" si="14"/>
        <v>0</v>
      </c>
      <c r="L21" s="34">
        <f t="shared" si="14"/>
        <v>0</v>
      </c>
      <c r="M21" s="34">
        <f t="shared" si="14"/>
        <v>0</v>
      </c>
      <c r="N21" s="34">
        <f t="shared" si="14"/>
        <v>0</v>
      </c>
      <c r="O21" s="34">
        <f t="shared" si="14"/>
        <v>0</v>
      </c>
      <c r="P21" s="34">
        <f t="shared" si="14"/>
        <v>0</v>
      </c>
      <c r="Q21" s="34">
        <f t="shared" si="14"/>
        <v>0</v>
      </c>
    </row>
    <row r="24" spans="1:18" s="3" customFormat="1" ht="6" customHeight="1" thickBot="1" x14ac:dyDescent="0.25"/>
    <row r="25" spans="1:18" x14ac:dyDescent="0.2">
      <c r="A25" s="164" t="s">
        <v>420</v>
      </c>
      <c r="B25" s="165" t="s">
        <v>552</v>
      </c>
      <c r="C25" s="166" t="s">
        <v>560</v>
      </c>
      <c r="D25" s="15"/>
      <c r="E25" s="101"/>
      <c r="F25" s="101"/>
    </row>
    <row r="26" spans="1:18" x14ac:dyDescent="0.2">
      <c r="A26" s="167" t="str">
        <f>A2</f>
        <v>SITE: Project Name -- Project Address</v>
      </c>
      <c r="B26" s="80">
        <f>'8. Printable Project Summary'!C25</f>
        <v>2016</v>
      </c>
      <c r="C26" s="168">
        <f>IF(B26="",0,RANK(B26,$B$26:$B$26,1)+COUNTIF($B$26:$B26,B26)-1)</f>
        <v>1</v>
      </c>
      <c r="D26" s="2"/>
      <c r="E26" s="2"/>
      <c r="F26" s="2"/>
    </row>
    <row r="29" spans="1:18" x14ac:dyDescent="0.2">
      <c r="A29" s="162" t="s">
        <v>553</v>
      </c>
      <c r="B29" s="163">
        <v>1</v>
      </c>
      <c r="C29" s="163" t="str">
        <f>CONCATENATE("Year ",INDEX($B$26:$B$26,MATCH(B29,$C$26:$C$26,0)))</f>
        <v>Year 2016</v>
      </c>
      <c r="D29" s="25"/>
      <c r="E29" s="25"/>
      <c r="F29" s="25"/>
      <c r="G29" s="25"/>
      <c r="H29" s="25"/>
      <c r="I29" s="25"/>
      <c r="J29" s="25"/>
      <c r="K29" s="25"/>
      <c r="L29" s="25"/>
      <c r="M29" s="25"/>
      <c r="N29" s="25"/>
      <c r="O29" s="25"/>
      <c r="P29" s="25"/>
      <c r="Q29" s="25"/>
      <c r="R29" s="25"/>
    </row>
    <row r="30" spans="1:18" ht="15" x14ac:dyDescent="0.25">
      <c r="C30" s="53" t="str">
        <f>INDEX($A$26:$A$26,MATCH(B29,$C$26:$C$26,0))</f>
        <v>SITE: Project Name -- Project Address</v>
      </c>
      <c r="E30" s="109" t="s">
        <v>20</v>
      </c>
      <c r="F30" s="46" t="s">
        <v>28</v>
      </c>
      <c r="G30" s="46" t="s">
        <v>29</v>
      </c>
      <c r="H30" s="46" t="s">
        <v>30</v>
      </c>
      <c r="I30" s="46" t="s">
        <v>31</v>
      </c>
      <c r="J30" s="46" t="s">
        <v>32</v>
      </c>
      <c r="K30" s="46" t="s">
        <v>33</v>
      </c>
      <c r="L30" s="46" t="s">
        <v>8</v>
      </c>
      <c r="M30" s="46" t="s">
        <v>9</v>
      </c>
      <c r="N30" s="46" t="s">
        <v>0</v>
      </c>
      <c r="O30" s="46" t="s">
        <v>2</v>
      </c>
      <c r="P30" s="46" t="s">
        <v>3</v>
      </c>
      <c r="Q30" s="46" t="s">
        <v>4</v>
      </c>
    </row>
    <row r="31" spans="1:18" ht="15" x14ac:dyDescent="0.25">
      <c r="C31" s="12" t="s">
        <v>554</v>
      </c>
      <c r="E31" s="153">
        <f>SUM(F31:Q31)</f>
        <v>0</v>
      </c>
      <c r="F31" s="77">
        <f>IF($C$30=$A$2,F16,IF($C$30=#REF!,#REF!,IF($C$30=#REF!,#REF!,0)))</f>
        <v>0</v>
      </c>
      <c r="G31" s="77">
        <f>IF($C$30=$A$2,G16,IF($C$30=#REF!,#REF!,IF($C$30=#REF!,#REF!,0)))</f>
        <v>0</v>
      </c>
      <c r="H31" s="77">
        <f>IF($C$30=$A$2,H16,IF($C$30=#REF!,#REF!,IF($C$30=#REF!,#REF!,0)))</f>
        <v>0</v>
      </c>
      <c r="I31" s="77">
        <f>IF($C$30=$A$2,I16,IF($C$30=#REF!,#REF!,IF($C$30=#REF!,#REF!,0)))</f>
        <v>0</v>
      </c>
      <c r="J31" s="77">
        <f>IF($C$30=$A$2,J16,IF($C$30=#REF!,#REF!,IF($C$30=#REF!,#REF!,0)))</f>
        <v>0</v>
      </c>
      <c r="K31" s="77">
        <f>IF($C$30=$A$2,K16,IF($C$30=#REF!,#REF!,IF($C$30=#REF!,#REF!,0)))</f>
        <v>0</v>
      </c>
      <c r="L31" s="77">
        <f>IF($C$30=$A$2,L16,IF($C$30=#REF!,#REF!,IF($C$30=#REF!,#REF!,0)))</f>
        <v>0</v>
      </c>
      <c r="M31" s="77">
        <f>IF($C$30=$A$2,M16,IF($C$30=#REF!,#REF!,IF($C$30=#REF!,#REF!,0)))</f>
        <v>0</v>
      </c>
      <c r="N31" s="77">
        <f>IF($C$30=$A$2,N16,IF($C$30=#REF!,#REF!,IF($C$30=#REF!,#REF!,0)))</f>
        <v>0</v>
      </c>
      <c r="O31" s="77">
        <f>IF($C$30=$A$2,O16,IF($C$30=#REF!,#REF!,IF($C$30=#REF!,#REF!,0)))</f>
        <v>0</v>
      </c>
      <c r="P31" s="77">
        <f>IF($C$30=$A$2,P16,IF($C$30=#REF!,#REF!,IF($C$30=#REF!,#REF!,0)))</f>
        <v>0</v>
      </c>
      <c r="Q31" s="77">
        <f>IF($C$30=$A$2,Q16,IF($C$30=#REF!,#REF!,IF($C$30=#REF!,#REF!,0)))</f>
        <v>0</v>
      </c>
    </row>
    <row r="32" spans="1:18" ht="15" x14ac:dyDescent="0.25">
      <c r="C32" s="12" t="s">
        <v>555</v>
      </c>
      <c r="E32" s="155">
        <f>SUM(F32:Q32)</f>
        <v>0</v>
      </c>
      <c r="F32" s="79">
        <f>IF($C$30=$A$2,F17,IF($C$30=#REF!,#REF!,IF($C$30=#REF!,#REF!,0)))</f>
        <v>0</v>
      </c>
      <c r="G32" s="79">
        <f>IF($C$30=$A$2,G17,IF($C$30=#REF!,#REF!,IF($C$30=#REF!,#REF!,0)))</f>
        <v>0</v>
      </c>
      <c r="H32" s="79">
        <f>IF($C$30=$A$2,H17,IF($C$30=#REF!,#REF!,IF($C$30=#REF!,#REF!,0)))</f>
        <v>0</v>
      </c>
      <c r="I32" s="79">
        <f>IF($C$30=$A$2,I17,IF($C$30=#REF!,#REF!,IF($C$30=#REF!,#REF!,0)))</f>
        <v>0</v>
      </c>
      <c r="J32" s="79">
        <f>IF($C$30=$A$2,J17,IF($C$30=#REF!,#REF!,IF($C$30=#REF!,#REF!,0)))</f>
        <v>0</v>
      </c>
      <c r="K32" s="79">
        <f>IF($C$30=$A$2,K17,IF($C$30=#REF!,#REF!,IF($C$30=#REF!,#REF!,0)))</f>
        <v>0</v>
      </c>
      <c r="L32" s="79">
        <f>IF($C$30=$A$2,L17,IF($C$30=#REF!,#REF!,IF($C$30=#REF!,#REF!,0)))</f>
        <v>0</v>
      </c>
      <c r="M32" s="79">
        <f>IF($C$30=$A$2,M17,IF($C$30=#REF!,#REF!,IF($C$30=#REF!,#REF!,0)))</f>
        <v>0</v>
      </c>
      <c r="N32" s="79">
        <f>IF($C$30=$A$2,N17,IF($C$30=#REF!,#REF!,IF($C$30=#REF!,#REF!,0)))</f>
        <v>0</v>
      </c>
      <c r="O32" s="79">
        <f>IF($C$30=$A$2,O17,IF($C$30=#REF!,#REF!,IF($C$30=#REF!,#REF!,0)))</f>
        <v>0</v>
      </c>
      <c r="P32" s="79">
        <f>IF($C$30=$A$2,P17,IF($C$30=#REF!,#REF!,IF($C$30=#REF!,#REF!,0)))</f>
        <v>0</v>
      </c>
      <c r="Q32" s="79">
        <f>IF($C$30=$A$2,Q17,IF($C$30=#REF!,#REF!,IF($C$30=#REF!,#REF!,0)))</f>
        <v>0</v>
      </c>
    </row>
    <row r="33" spans="1:18" ht="15" x14ac:dyDescent="0.25">
      <c r="C33" s="169" t="s">
        <v>561</v>
      </c>
      <c r="E33" s="154">
        <f t="shared" ref="E33" si="15">SUM(F33:Q33)</f>
        <v>0</v>
      </c>
      <c r="F33" s="34">
        <f>IF(F31&gt;=F32,F32,F31)</f>
        <v>0</v>
      </c>
      <c r="G33" s="34">
        <f t="shared" ref="G33:Q33" si="16">IF(G31&gt;=G32,G32,G31)</f>
        <v>0</v>
      </c>
      <c r="H33" s="34">
        <f t="shared" si="16"/>
        <v>0</v>
      </c>
      <c r="I33" s="34">
        <f t="shared" si="16"/>
        <v>0</v>
      </c>
      <c r="J33" s="34">
        <f t="shared" si="16"/>
        <v>0</v>
      </c>
      <c r="K33" s="34">
        <f t="shared" si="16"/>
        <v>0</v>
      </c>
      <c r="L33" s="34">
        <f t="shared" si="16"/>
        <v>0</v>
      </c>
      <c r="M33" s="34">
        <f t="shared" si="16"/>
        <v>0</v>
      </c>
      <c r="N33" s="34">
        <f t="shared" si="16"/>
        <v>0</v>
      </c>
      <c r="O33" s="34">
        <f t="shared" si="16"/>
        <v>0</v>
      </c>
      <c r="P33" s="34">
        <f t="shared" si="16"/>
        <v>0</v>
      </c>
      <c r="Q33" s="34">
        <f t="shared" si="16"/>
        <v>0</v>
      </c>
    </row>
    <row r="34" spans="1:18" s="152" customFormat="1" ht="15" x14ac:dyDescent="0.25">
      <c r="C34" s="169" t="s">
        <v>562</v>
      </c>
      <c r="E34" s="154">
        <f>IF(E31&gt;=E32,E32,E31)</f>
        <v>0</v>
      </c>
      <c r="F34" s="34"/>
      <c r="G34" s="34"/>
      <c r="H34" s="34"/>
      <c r="I34" s="34"/>
      <c r="J34" s="34"/>
      <c r="K34" s="34"/>
      <c r="L34" s="34"/>
      <c r="M34" s="34"/>
      <c r="N34" s="34"/>
      <c r="O34" s="34"/>
      <c r="P34" s="34"/>
      <c r="Q34" s="34"/>
    </row>
    <row r="36" spans="1:18" x14ac:dyDescent="0.2">
      <c r="A36" s="162" t="s">
        <v>553</v>
      </c>
      <c r="B36" s="163">
        <v>2</v>
      </c>
      <c r="C36" s="163" t="e">
        <f>CONCATENATE("Year ",INDEX($B$26:$B$26,MATCH(B36,$C$26:$C$26,0)))</f>
        <v>#N/A</v>
      </c>
      <c r="D36" s="25"/>
      <c r="E36" s="25"/>
      <c r="F36" s="25"/>
      <c r="G36" s="25"/>
      <c r="H36" s="25"/>
      <c r="I36" s="25"/>
      <c r="J36" s="25"/>
      <c r="K36" s="25"/>
      <c r="L36" s="25"/>
      <c r="M36" s="25"/>
      <c r="N36" s="25"/>
      <c r="O36" s="25"/>
      <c r="P36" s="25"/>
      <c r="Q36" s="25"/>
      <c r="R36" s="25"/>
    </row>
    <row r="37" spans="1:18" ht="15" x14ac:dyDescent="0.25">
      <c r="B37" s="146"/>
      <c r="C37" s="53" t="e">
        <f>INDEX($A$26:$A$26,MATCH(B36,$C$26:$C$26,0))</f>
        <v>#N/A</v>
      </c>
      <c r="D37" s="146"/>
      <c r="E37" s="109" t="s">
        <v>20</v>
      </c>
      <c r="F37" s="46" t="s">
        <v>28</v>
      </c>
      <c r="G37" s="46" t="s">
        <v>29</v>
      </c>
      <c r="H37" s="46" t="s">
        <v>30</v>
      </c>
      <c r="I37" s="46" t="s">
        <v>31</v>
      </c>
      <c r="J37" s="46" t="s">
        <v>32</v>
      </c>
      <c r="K37" s="46" t="s">
        <v>33</v>
      </c>
      <c r="L37" s="46" t="s">
        <v>8</v>
      </c>
      <c r="M37" s="46" t="s">
        <v>9</v>
      </c>
      <c r="N37" s="46" t="s">
        <v>0</v>
      </c>
      <c r="O37" s="46" t="s">
        <v>2</v>
      </c>
      <c r="P37" s="46" t="s">
        <v>3</v>
      </c>
      <c r="Q37" s="46" t="s">
        <v>4</v>
      </c>
    </row>
    <row r="38" spans="1:18" ht="15" x14ac:dyDescent="0.25">
      <c r="B38" s="146"/>
      <c r="C38" s="12" t="s">
        <v>554</v>
      </c>
      <c r="D38" s="146"/>
      <c r="E38" s="153" t="e">
        <f>SUM(F38:Q38)</f>
        <v>#N/A</v>
      </c>
      <c r="F38" s="77" t="e">
        <f>IF($C$37=$A$2,F16,IF($C$37=#REF!,#REF!,IF($C$37=#REF!,#REF!,0)))</f>
        <v>#N/A</v>
      </c>
      <c r="G38" s="77" t="e">
        <f>IF($C$37=$A$2,G16,IF($C$37=#REF!,#REF!,IF($C$37=#REF!,#REF!,0)))</f>
        <v>#N/A</v>
      </c>
      <c r="H38" s="77" t="e">
        <f>IF($C$37=$A$2,H16,IF($C$37=#REF!,#REF!,IF($C$37=#REF!,#REF!,0)))</f>
        <v>#N/A</v>
      </c>
      <c r="I38" s="77" t="e">
        <f>IF($C$37=$A$2,I16,IF($C$37=#REF!,#REF!,IF($C$37=#REF!,#REF!,0)))</f>
        <v>#N/A</v>
      </c>
      <c r="J38" s="77" t="e">
        <f>IF($C$37=$A$2,J16,IF($C$37=#REF!,#REF!,IF($C$37=#REF!,#REF!,0)))</f>
        <v>#N/A</v>
      </c>
      <c r="K38" s="77" t="e">
        <f>IF($C$37=$A$2,K16,IF($C$37=#REF!,#REF!,IF($C$37=#REF!,#REF!,0)))</f>
        <v>#N/A</v>
      </c>
      <c r="L38" s="77" t="e">
        <f>IF($C$37=$A$2,L16,IF($C$37=#REF!,#REF!,IF($C$37=#REF!,#REF!,0)))</f>
        <v>#N/A</v>
      </c>
      <c r="M38" s="77" t="e">
        <f>IF($C$37=$A$2,M16,IF($C$37=#REF!,#REF!,IF($C$37=#REF!,#REF!,0)))</f>
        <v>#N/A</v>
      </c>
      <c r="N38" s="77" t="e">
        <f>IF($C$37=$A$2,N16,IF($C$37=#REF!,#REF!,IF($C$37=#REF!,#REF!,0)))</f>
        <v>#N/A</v>
      </c>
      <c r="O38" s="77" t="e">
        <f>IF($C$37=$A$2,O16,IF($C$37=#REF!,#REF!,IF($C$37=#REF!,#REF!,0)))</f>
        <v>#N/A</v>
      </c>
      <c r="P38" s="77" t="e">
        <f>IF($C$37=$A$2,P16,IF($C$37=#REF!,#REF!,IF($C$37=#REF!,#REF!,0)))</f>
        <v>#N/A</v>
      </c>
      <c r="Q38" s="77" t="e">
        <f>IF($C$37=$A$2,Q16,IF($C$37=#REF!,#REF!,IF($C$37=#REF!,#REF!,0)))</f>
        <v>#N/A</v>
      </c>
    </row>
    <row r="39" spans="1:18" ht="15" x14ac:dyDescent="0.25">
      <c r="B39" s="146"/>
      <c r="C39" s="12" t="s">
        <v>555</v>
      </c>
      <c r="D39" s="146"/>
      <c r="E39" s="155" t="e">
        <f>SUM(F39:Q39)</f>
        <v>#N/A</v>
      </c>
      <c r="F39" s="79" t="e">
        <f>IF($C$37=$A$2,F17,IF($C$37=#REF!,#REF!,IF($C$37=#REF!,#REF!,0)))</f>
        <v>#N/A</v>
      </c>
      <c r="G39" s="79" t="e">
        <f>IF($C$37=$A$2,G17,IF($C$37=#REF!,#REF!,IF($C$37=#REF!,#REF!,0)))</f>
        <v>#N/A</v>
      </c>
      <c r="H39" s="79" t="e">
        <f>IF($C$37=$A$2,H17,IF($C$37=#REF!,#REF!,IF($C$37=#REF!,#REF!,0)))</f>
        <v>#N/A</v>
      </c>
      <c r="I39" s="79" t="e">
        <f>IF($C$37=$A$2,I17,IF($C$37=#REF!,#REF!,IF($C$37=#REF!,#REF!,0)))</f>
        <v>#N/A</v>
      </c>
      <c r="J39" s="79" t="e">
        <f>IF($C$37=$A$2,J17,IF($C$37=#REF!,#REF!,IF($C$37=#REF!,#REF!,0)))</f>
        <v>#N/A</v>
      </c>
      <c r="K39" s="79" t="e">
        <f>IF($C$37=$A$2,K17,IF($C$37=#REF!,#REF!,IF($C$37=#REF!,#REF!,0)))</f>
        <v>#N/A</v>
      </c>
      <c r="L39" s="79" t="e">
        <f>IF($C$37=$A$2,L17,IF($C$37=#REF!,#REF!,IF($C$37=#REF!,#REF!,0)))</f>
        <v>#N/A</v>
      </c>
      <c r="M39" s="79" t="e">
        <f>IF($C$37=$A$2,M17,IF($C$37=#REF!,#REF!,IF($C$37=#REF!,#REF!,0)))</f>
        <v>#N/A</v>
      </c>
      <c r="N39" s="79" t="e">
        <f>IF($C$37=$A$2,N17,IF($C$37=#REF!,#REF!,IF($C$37=#REF!,#REF!,0)))</f>
        <v>#N/A</v>
      </c>
      <c r="O39" s="79" t="e">
        <f>IF($C$37=$A$2,O17,IF($C$37=#REF!,#REF!,IF($C$37=#REF!,#REF!,0)))</f>
        <v>#N/A</v>
      </c>
      <c r="P39" s="79" t="e">
        <f>IF($C$37=$A$2,P17,IF($C$37=#REF!,#REF!,IF($C$37=#REF!,#REF!,0)))</f>
        <v>#N/A</v>
      </c>
      <c r="Q39" s="79" t="e">
        <f>IF($C$37=$A$2,Q17,IF($C$37=#REF!,#REF!,IF($C$37=#REF!,#REF!,0)))</f>
        <v>#N/A</v>
      </c>
    </row>
    <row r="40" spans="1:18" ht="15" x14ac:dyDescent="0.25">
      <c r="B40" s="146"/>
      <c r="C40" s="169" t="s">
        <v>561</v>
      </c>
      <c r="D40" s="146"/>
      <c r="E40" s="154" t="e">
        <f t="shared" ref="E40" si="17">SUM(F40:Q40)</f>
        <v>#N/A</v>
      </c>
      <c r="F40" s="34" t="e">
        <f>IF(F38&gt;=F39,F39,F38)</f>
        <v>#N/A</v>
      </c>
      <c r="G40" s="34" t="e">
        <f t="shared" ref="G40" si="18">IF(G38&gt;=G39,G39,G38)</f>
        <v>#N/A</v>
      </c>
      <c r="H40" s="34" t="e">
        <f t="shared" ref="H40" si="19">IF(H38&gt;=H39,H39,H38)</f>
        <v>#N/A</v>
      </c>
      <c r="I40" s="34" t="e">
        <f t="shared" ref="I40" si="20">IF(I38&gt;=I39,I39,I38)</f>
        <v>#N/A</v>
      </c>
      <c r="J40" s="34" t="e">
        <f t="shared" ref="J40" si="21">IF(J38&gt;=J39,J39,J38)</f>
        <v>#N/A</v>
      </c>
      <c r="K40" s="34" t="e">
        <f t="shared" ref="K40" si="22">IF(K38&gt;=K39,K39,K38)</f>
        <v>#N/A</v>
      </c>
      <c r="L40" s="34" t="e">
        <f t="shared" ref="L40" si="23">IF(L38&gt;=L39,L39,L38)</f>
        <v>#N/A</v>
      </c>
      <c r="M40" s="34" t="e">
        <f t="shared" ref="M40" si="24">IF(M38&gt;=M39,M39,M38)</f>
        <v>#N/A</v>
      </c>
      <c r="N40" s="34" t="e">
        <f t="shared" ref="N40" si="25">IF(N38&gt;=N39,N39,N38)</f>
        <v>#N/A</v>
      </c>
      <c r="O40" s="34" t="e">
        <f t="shared" ref="O40" si="26">IF(O38&gt;=O39,O39,O38)</f>
        <v>#N/A</v>
      </c>
      <c r="P40" s="34" t="e">
        <f t="shared" ref="P40" si="27">IF(P38&gt;=P39,P39,P38)</f>
        <v>#N/A</v>
      </c>
      <c r="Q40" s="34" t="e">
        <f t="shared" ref="Q40" si="28">IF(Q38&gt;=Q39,Q39,Q38)</f>
        <v>#N/A</v>
      </c>
    </row>
    <row r="41" spans="1:18" s="152" customFormat="1" ht="15" x14ac:dyDescent="0.25">
      <c r="C41" s="169" t="s">
        <v>562</v>
      </c>
      <c r="E41" s="154" t="e">
        <f>IF(E38&gt;=E39,E39,E38)</f>
        <v>#N/A</v>
      </c>
      <c r="F41" s="34"/>
      <c r="G41" s="34"/>
      <c r="H41" s="34"/>
      <c r="I41" s="34"/>
      <c r="J41" s="34"/>
      <c r="K41" s="34"/>
      <c r="L41" s="34"/>
      <c r="M41" s="34"/>
      <c r="N41" s="34"/>
      <c r="O41" s="34"/>
      <c r="P41" s="34"/>
      <c r="Q41" s="34"/>
    </row>
    <row r="42" spans="1:18" s="152" customFormat="1" ht="15" x14ac:dyDescent="0.25">
      <c r="C42" s="169"/>
      <c r="E42" s="175"/>
      <c r="F42" s="107"/>
      <c r="G42" s="107"/>
      <c r="H42" s="107"/>
      <c r="I42" s="107"/>
      <c r="J42" s="107"/>
      <c r="K42" s="107"/>
      <c r="L42" s="107"/>
      <c r="M42" s="107"/>
      <c r="N42" s="107"/>
      <c r="O42" s="107"/>
      <c r="P42" s="107"/>
      <c r="Q42" s="107"/>
    </row>
    <row r="43" spans="1:18" ht="5.25" customHeight="1" x14ac:dyDescent="0.2">
      <c r="A43" s="156"/>
      <c r="B43" s="156"/>
      <c r="C43" s="156"/>
      <c r="D43" s="156"/>
      <c r="E43" s="156"/>
      <c r="F43" s="156"/>
      <c r="G43" s="156"/>
      <c r="H43" s="156"/>
      <c r="I43" s="156"/>
      <c r="J43" s="156"/>
      <c r="K43" s="156"/>
      <c r="L43" s="156"/>
      <c r="M43" s="156"/>
      <c r="N43" s="156"/>
      <c r="O43" s="156"/>
      <c r="P43" s="156"/>
      <c r="Q43" s="156"/>
      <c r="R43" s="156"/>
    </row>
    <row r="44" spans="1:18" s="146" customFormat="1" ht="5.25" customHeight="1" thickBot="1" x14ac:dyDescent="0.25">
      <c r="A44" s="3"/>
      <c r="B44" s="3"/>
      <c r="C44" s="3"/>
      <c r="D44" s="3"/>
      <c r="E44" s="3"/>
      <c r="F44" s="3"/>
      <c r="G44" s="3"/>
      <c r="H44" s="3"/>
      <c r="I44" s="3"/>
      <c r="J44" s="3"/>
      <c r="K44" s="3"/>
      <c r="L44" s="3"/>
      <c r="M44" s="3"/>
      <c r="N44" s="3"/>
      <c r="O44" s="3"/>
      <c r="P44" s="3"/>
      <c r="Q44" s="3"/>
      <c r="R44" s="3"/>
    </row>
    <row r="45" spans="1:18" ht="15" x14ac:dyDescent="0.25">
      <c r="A45" s="13" t="s">
        <v>558</v>
      </c>
      <c r="B45" s="170"/>
      <c r="C45" s="171" t="s">
        <v>556</v>
      </c>
      <c r="D45" s="9"/>
      <c r="E45" s="157" t="s">
        <v>20</v>
      </c>
      <c r="F45" s="158" t="s">
        <v>28</v>
      </c>
      <c r="G45" s="158" t="s">
        <v>29</v>
      </c>
      <c r="H45" s="158" t="s">
        <v>30</v>
      </c>
      <c r="I45" s="158" t="s">
        <v>31</v>
      </c>
      <c r="J45" s="158" t="s">
        <v>32</v>
      </c>
      <c r="K45" s="158" t="s">
        <v>33</v>
      </c>
      <c r="L45" s="158" t="s">
        <v>8</v>
      </c>
      <c r="M45" s="158" t="s">
        <v>9</v>
      </c>
      <c r="N45" s="158" t="s">
        <v>0</v>
      </c>
      <c r="O45" s="158" t="s">
        <v>2</v>
      </c>
      <c r="P45" s="158" t="s">
        <v>3</v>
      </c>
      <c r="Q45" s="158" t="s">
        <v>4</v>
      </c>
      <c r="R45" s="10"/>
    </row>
    <row r="46" spans="1:18" ht="15" x14ac:dyDescent="0.25">
      <c r="B46" s="26"/>
      <c r="C46" s="159" t="s">
        <v>554</v>
      </c>
      <c r="D46" s="5"/>
      <c r="E46" s="153" t="e">
        <f>SUM(F46:Q46)</f>
        <v>#N/A</v>
      </c>
      <c r="F46" s="77" t="e">
        <f t="shared" ref="F46:Q46" si="29">F31+F38</f>
        <v>#N/A</v>
      </c>
      <c r="G46" s="77" t="e">
        <f t="shared" si="29"/>
        <v>#N/A</v>
      </c>
      <c r="H46" s="77" t="e">
        <f t="shared" si="29"/>
        <v>#N/A</v>
      </c>
      <c r="I46" s="77" t="e">
        <f t="shared" si="29"/>
        <v>#N/A</v>
      </c>
      <c r="J46" s="77" t="e">
        <f t="shared" si="29"/>
        <v>#N/A</v>
      </c>
      <c r="K46" s="77" t="e">
        <f t="shared" si="29"/>
        <v>#N/A</v>
      </c>
      <c r="L46" s="77" t="e">
        <f t="shared" si="29"/>
        <v>#N/A</v>
      </c>
      <c r="M46" s="77" t="e">
        <f t="shared" si="29"/>
        <v>#N/A</v>
      </c>
      <c r="N46" s="77" t="e">
        <f t="shared" si="29"/>
        <v>#N/A</v>
      </c>
      <c r="O46" s="77" t="e">
        <f t="shared" si="29"/>
        <v>#N/A</v>
      </c>
      <c r="P46" s="77" t="e">
        <f t="shared" si="29"/>
        <v>#N/A</v>
      </c>
      <c r="Q46" s="77" t="e">
        <f t="shared" si="29"/>
        <v>#N/A</v>
      </c>
      <c r="R46" s="27"/>
    </row>
    <row r="47" spans="1:18" ht="15" x14ac:dyDescent="0.25">
      <c r="B47" s="26"/>
      <c r="C47" s="159" t="s">
        <v>555</v>
      </c>
      <c r="D47" s="5"/>
      <c r="E47" s="155" t="e">
        <f t="shared" ref="E47:E48" si="30">SUM(F47:Q47)</f>
        <v>#N/A</v>
      </c>
      <c r="F47" s="79" t="e">
        <f t="shared" ref="F47:Q47" si="31">F32+F39</f>
        <v>#N/A</v>
      </c>
      <c r="G47" s="79" t="e">
        <f t="shared" si="31"/>
        <v>#N/A</v>
      </c>
      <c r="H47" s="79" t="e">
        <f t="shared" si="31"/>
        <v>#N/A</v>
      </c>
      <c r="I47" s="79" t="e">
        <f t="shared" si="31"/>
        <v>#N/A</v>
      </c>
      <c r="J47" s="79" t="e">
        <f t="shared" si="31"/>
        <v>#N/A</v>
      </c>
      <c r="K47" s="79" t="e">
        <f t="shared" si="31"/>
        <v>#N/A</v>
      </c>
      <c r="L47" s="79" t="e">
        <f t="shared" si="31"/>
        <v>#N/A</v>
      </c>
      <c r="M47" s="79" t="e">
        <f t="shared" si="31"/>
        <v>#N/A</v>
      </c>
      <c r="N47" s="79" t="e">
        <f t="shared" si="31"/>
        <v>#N/A</v>
      </c>
      <c r="O47" s="79" t="e">
        <f t="shared" si="31"/>
        <v>#N/A</v>
      </c>
      <c r="P47" s="79" t="e">
        <f t="shared" si="31"/>
        <v>#N/A</v>
      </c>
      <c r="Q47" s="79" t="e">
        <f t="shared" si="31"/>
        <v>#N/A</v>
      </c>
      <c r="R47" s="27"/>
    </row>
    <row r="48" spans="1:18" ht="15" x14ac:dyDescent="0.25">
      <c r="B48" s="26"/>
      <c r="C48" s="169" t="s">
        <v>561</v>
      </c>
      <c r="D48" s="5"/>
      <c r="E48" s="154" t="e">
        <f t="shared" si="30"/>
        <v>#N/A</v>
      </c>
      <c r="F48" s="34" t="e">
        <f>IF(F46&gt;=F47,F47,F46)</f>
        <v>#N/A</v>
      </c>
      <c r="G48" s="34" t="e">
        <f t="shared" ref="G48:Q48" si="32">IF(G46&gt;=G47,G47,G46)</f>
        <v>#N/A</v>
      </c>
      <c r="H48" s="34" t="e">
        <f t="shared" si="32"/>
        <v>#N/A</v>
      </c>
      <c r="I48" s="34" t="e">
        <f t="shared" si="32"/>
        <v>#N/A</v>
      </c>
      <c r="J48" s="34" t="e">
        <f t="shared" si="32"/>
        <v>#N/A</v>
      </c>
      <c r="K48" s="34" t="e">
        <f t="shared" si="32"/>
        <v>#N/A</v>
      </c>
      <c r="L48" s="34" t="e">
        <f t="shared" si="32"/>
        <v>#N/A</v>
      </c>
      <c r="M48" s="34" t="e">
        <f t="shared" si="32"/>
        <v>#N/A</v>
      </c>
      <c r="N48" s="34" t="e">
        <f t="shared" si="32"/>
        <v>#N/A</v>
      </c>
      <c r="O48" s="34" t="e">
        <f t="shared" si="32"/>
        <v>#N/A</v>
      </c>
      <c r="P48" s="34" t="e">
        <f t="shared" si="32"/>
        <v>#N/A</v>
      </c>
      <c r="Q48" s="34" t="e">
        <f t="shared" si="32"/>
        <v>#N/A</v>
      </c>
      <c r="R48" s="27"/>
    </row>
    <row r="49" spans="1:18" s="152" customFormat="1" ht="15.75" thickBot="1" x14ac:dyDescent="0.3">
      <c r="B49" s="6"/>
      <c r="C49" s="172" t="s">
        <v>562</v>
      </c>
      <c r="D49" s="7"/>
      <c r="E49" s="160" t="e">
        <f>IF(E46&gt;=E47,E47,E46)</f>
        <v>#N/A</v>
      </c>
      <c r="F49" s="161"/>
      <c r="G49" s="161"/>
      <c r="H49" s="161"/>
      <c r="I49" s="161"/>
      <c r="J49" s="161"/>
      <c r="K49" s="161"/>
      <c r="L49" s="161"/>
      <c r="M49" s="161"/>
      <c r="N49" s="161"/>
      <c r="O49" s="161"/>
      <c r="P49" s="161"/>
      <c r="Q49" s="161"/>
      <c r="R49" s="8"/>
    </row>
    <row r="50" spans="1:18" ht="6" customHeight="1" x14ac:dyDescent="0.2"/>
    <row r="52" spans="1:18" x14ac:dyDescent="0.2">
      <c r="A52" s="162" t="s">
        <v>553</v>
      </c>
      <c r="B52" s="163">
        <v>3</v>
      </c>
      <c r="C52" s="163" t="str">
        <f>IF(ISERROR(INDEX($B$26:$B$26,MATCH(B52,$C$26:$C$26,0))),"0",CONCATENATE("Year ",INDEX($B$26:$B$26,MATCH(B52,$C$26:$C$26,0))))</f>
        <v>0</v>
      </c>
      <c r="D52" s="25"/>
      <c r="E52" s="25"/>
      <c r="F52" s="25"/>
      <c r="G52" s="25"/>
      <c r="H52" s="25"/>
      <c r="I52" s="25"/>
      <c r="J52" s="25"/>
      <c r="K52" s="25"/>
      <c r="L52" s="25"/>
      <c r="M52" s="25"/>
      <c r="N52" s="25"/>
      <c r="O52" s="25"/>
      <c r="P52" s="25"/>
      <c r="Q52" s="25"/>
      <c r="R52" s="25"/>
    </row>
    <row r="53" spans="1:18" ht="15" x14ac:dyDescent="0.25">
      <c r="B53" s="146"/>
      <c r="C53" s="53" t="str">
        <f>IF(ISERROR(INDEX($A$26:$A$26,MATCH(B52,$C$26:$C$26,0))),"NO SITE",INDEX($A$26:$A$26,MATCH(B52,$C$26:$C$26,0)))</f>
        <v>NO SITE</v>
      </c>
      <c r="D53" s="146"/>
      <c r="E53" s="109" t="s">
        <v>20</v>
      </c>
      <c r="F53" s="46" t="s">
        <v>28</v>
      </c>
      <c r="G53" s="46" t="s">
        <v>29</v>
      </c>
      <c r="H53" s="46" t="s">
        <v>30</v>
      </c>
      <c r="I53" s="46" t="s">
        <v>31</v>
      </c>
      <c r="J53" s="46" t="s">
        <v>32</v>
      </c>
      <c r="K53" s="46" t="s">
        <v>33</v>
      </c>
      <c r="L53" s="46" t="s">
        <v>8</v>
      </c>
      <c r="M53" s="46" t="s">
        <v>9</v>
      </c>
      <c r="N53" s="46" t="s">
        <v>0</v>
      </c>
      <c r="O53" s="46" t="s">
        <v>2</v>
      </c>
      <c r="P53" s="46" t="s">
        <v>3</v>
      </c>
      <c r="Q53" s="46" t="s">
        <v>4</v>
      </c>
    </row>
    <row r="54" spans="1:18" ht="15" x14ac:dyDescent="0.25">
      <c r="B54" s="146"/>
      <c r="C54" s="12" t="s">
        <v>554</v>
      </c>
      <c r="D54" s="146"/>
      <c r="E54" s="153" t="e">
        <f>SUM(F54:Q54)</f>
        <v>#REF!</v>
      </c>
      <c r="F54" s="77" t="e">
        <f>IF($C$53=$A$2,F16,IF($C$53=#REF!,#REF!,IF($C$53=#REF!,#REF!,0)))</f>
        <v>#REF!</v>
      </c>
      <c r="G54" s="77" t="e">
        <f>IF($C$53=$A$2,G16,IF($C$53=#REF!,#REF!,IF($C$53=#REF!,#REF!,0)))</f>
        <v>#REF!</v>
      </c>
      <c r="H54" s="77" t="e">
        <f>IF($C$53=$A$2,H16,IF($C$53=#REF!,#REF!,IF($C$53=#REF!,#REF!,0)))</f>
        <v>#REF!</v>
      </c>
      <c r="I54" s="77" t="e">
        <f>IF($C$53=$A$2,I16,IF($C$53=#REF!,#REF!,IF($C$53=#REF!,#REF!,0)))</f>
        <v>#REF!</v>
      </c>
      <c r="J54" s="77" t="e">
        <f>IF($C$53=$A$2,J16,IF($C$53=#REF!,#REF!,IF($C$53=#REF!,#REF!,0)))</f>
        <v>#REF!</v>
      </c>
      <c r="K54" s="77" t="e">
        <f>IF($C$53=$A$2,K16,IF($C$53=#REF!,#REF!,IF($C$53=#REF!,#REF!,0)))</f>
        <v>#REF!</v>
      </c>
      <c r="L54" s="77" t="e">
        <f>IF($C$53=$A$2,L16,IF($C$53=#REF!,#REF!,IF($C$53=#REF!,#REF!,0)))</f>
        <v>#REF!</v>
      </c>
      <c r="M54" s="77" t="e">
        <f>IF($C$53=$A$2,M16,IF($C$53=#REF!,#REF!,IF($C$53=#REF!,#REF!,0)))</f>
        <v>#REF!</v>
      </c>
      <c r="N54" s="77" t="e">
        <f>IF($C$53=$A$2,N16,IF($C$53=#REF!,#REF!,IF($C$53=#REF!,#REF!,0)))</f>
        <v>#REF!</v>
      </c>
      <c r="O54" s="77" t="e">
        <f>IF($C$53=$A$2,O16,IF($C$53=#REF!,#REF!,IF($C$53=#REF!,#REF!,0)))</f>
        <v>#REF!</v>
      </c>
      <c r="P54" s="77" t="e">
        <f>IF($C$53=$A$2,P16,IF($C$53=#REF!,#REF!,IF($C$53=#REF!,#REF!,0)))</f>
        <v>#REF!</v>
      </c>
      <c r="Q54" s="77" t="e">
        <f>IF($C$53=$A$2,Q16,IF($C$53=#REF!,#REF!,IF($C$53=#REF!,#REF!,0)))</f>
        <v>#REF!</v>
      </c>
    </row>
    <row r="55" spans="1:18" ht="15" x14ac:dyDescent="0.25">
      <c r="B55" s="146"/>
      <c r="C55" s="12" t="s">
        <v>555</v>
      </c>
      <c r="D55" s="146"/>
      <c r="E55" s="155" t="e">
        <f>SUM(F55:Q55)</f>
        <v>#REF!</v>
      </c>
      <c r="F55" s="79" t="e">
        <f>IF($C$53=$A$2,F17,IF($C$53=#REF!,#REF!,IF($C$53=#REF!,#REF!,0)))</f>
        <v>#REF!</v>
      </c>
      <c r="G55" s="79" t="e">
        <f>IF($C$53=$A$2,G17,IF($C$53=#REF!,#REF!,IF($C$53=#REF!,#REF!,0)))</f>
        <v>#REF!</v>
      </c>
      <c r="H55" s="79" t="e">
        <f>IF($C$53=$A$2,H17,IF($C$53=#REF!,#REF!,IF($C$53=#REF!,#REF!,0)))</f>
        <v>#REF!</v>
      </c>
      <c r="I55" s="79" t="e">
        <f>IF($C$53=$A$2,I17,IF($C$53=#REF!,#REF!,IF($C$53=#REF!,#REF!,0)))</f>
        <v>#REF!</v>
      </c>
      <c r="J55" s="79" t="e">
        <f>IF($C$53=$A$2,J17,IF($C$53=#REF!,#REF!,IF($C$53=#REF!,#REF!,0)))</f>
        <v>#REF!</v>
      </c>
      <c r="K55" s="79" t="e">
        <f>IF($C$53=$A$2,K17,IF($C$53=#REF!,#REF!,IF($C$53=#REF!,#REF!,0)))</f>
        <v>#REF!</v>
      </c>
      <c r="L55" s="79" t="e">
        <f>IF($C$53=$A$2,L17,IF($C$53=#REF!,#REF!,IF($C$53=#REF!,#REF!,0)))</f>
        <v>#REF!</v>
      </c>
      <c r="M55" s="79" t="e">
        <f>IF($C$53=$A$2,M17,IF($C$53=#REF!,#REF!,IF($C$53=#REF!,#REF!,0)))</f>
        <v>#REF!</v>
      </c>
      <c r="N55" s="79" t="e">
        <f>IF($C$53=$A$2,N17,IF($C$53=#REF!,#REF!,IF($C$53=#REF!,#REF!,0)))</f>
        <v>#REF!</v>
      </c>
      <c r="O55" s="79" t="e">
        <f>IF($C$53=$A$2,O17,IF($C$53=#REF!,#REF!,IF($C$53=#REF!,#REF!,0)))</f>
        <v>#REF!</v>
      </c>
      <c r="P55" s="79" t="e">
        <f>IF($C$53=$A$2,P17,IF($C$53=#REF!,#REF!,IF($C$53=#REF!,#REF!,0)))</f>
        <v>#REF!</v>
      </c>
      <c r="Q55" s="79" t="e">
        <f>IF($C$53=$A$2,Q17,IF($C$53=#REF!,#REF!,IF($C$53=#REF!,#REF!,0)))</f>
        <v>#REF!</v>
      </c>
    </row>
    <row r="56" spans="1:18" ht="15" x14ac:dyDescent="0.25">
      <c r="B56" s="146"/>
      <c r="C56" s="169" t="s">
        <v>561</v>
      </c>
      <c r="D56" s="146"/>
      <c r="E56" s="154" t="e">
        <f t="shared" ref="E56" si="33">SUM(F56:Q56)</f>
        <v>#REF!</v>
      </c>
      <c r="F56" s="34" t="e">
        <f>IF(F54&gt;=F55,F55,F54)</f>
        <v>#REF!</v>
      </c>
      <c r="G56" s="34" t="e">
        <f t="shared" ref="G56" si="34">IF(G54&gt;=G55,G55,G54)</f>
        <v>#REF!</v>
      </c>
      <c r="H56" s="34" t="e">
        <f t="shared" ref="H56" si="35">IF(H54&gt;=H55,H55,H54)</f>
        <v>#REF!</v>
      </c>
      <c r="I56" s="34" t="e">
        <f t="shared" ref="I56" si="36">IF(I54&gt;=I55,I55,I54)</f>
        <v>#REF!</v>
      </c>
      <c r="J56" s="34" t="e">
        <f t="shared" ref="J56" si="37">IF(J54&gt;=J55,J55,J54)</f>
        <v>#REF!</v>
      </c>
      <c r="K56" s="34" t="e">
        <f t="shared" ref="K56" si="38">IF(K54&gt;=K55,K55,K54)</f>
        <v>#REF!</v>
      </c>
      <c r="L56" s="34" t="e">
        <f t="shared" ref="L56" si="39">IF(L54&gt;=L55,L55,L54)</f>
        <v>#REF!</v>
      </c>
      <c r="M56" s="34" t="e">
        <f t="shared" ref="M56" si="40">IF(M54&gt;=M55,M55,M54)</f>
        <v>#REF!</v>
      </c>
      <c r="N56" s="34" t="e">
        <f t="shared" ref="N56" si="41">IF(N54&gt;=N55,N55,N54)</f>
        <v>#REF!</v>
      </c>
      <c r="O56" s="34" t="e">
        <f t="shared" ref="O56" si="42">IF(O54&gt;=O55,O55,O54)</f>
        <v>#REF!</v>
      </c>
      <c r="P56" s="34" t="e">
        <f t="shared" ref="P56" si="43">IF(P54&gt;=P55,P55,P54)</f>
        <v>#REF!</v>
      </c>
      <c r="Q56" s="34" t="e">
        <f t="shared" ref="Q56" si="44">IF(Q54&gt;=Q55,Q55,Q54)</f>
        <v>#REF!</v>
      </c>
    </row>
    <row r="57" spans="1:18" s="152" customFormat="1" ht="15" x14ac:dyDescent="0.25">
      <c r="C57" s="169" t="s">
        <v>562</v>
      </c>
      <c r="E57" s="154" t="e">
        <f>IF(E54&gt;=E55,E55,E54)</f>
        <v>#REF!</v>
      </c>
      <c r="F57" s="34"/>
      <c r="G57" s="34"/>
      <c r="H57" s="34"/>
      <c r="I57" s="34"/>
      <c r="J57" s="34"/>
      <c r="K57" s="34"/>
      <c r="L57" s="34"/>
      <c r="M57" s="34"/>
      <c r="N57" s="34"/>
      <c r="O57" s="34"/>
      <c r="P57" s="34"/>
      <c r="Q57" s="34"/>
    </row>
    <row r="58" spans="1:18" s="152" customFormat="1" ht="15" x14ac:dyDescent="0.25">
      <c r="C58" s="169"/>
      <c r="E58" s="175"/>
      <c r="F58" s="107"/>
      <c r="G58" s="107"/>
      <c r="H58" s="107"/>
      <c r="I58" s="107"/>
      <c r="J58" s="107"/>
      <c r="K58" s="107"/>
      <c r="L58" s="107"/>
      <c r="M58" s="107"/>
      <c r="N58" s="107"/>
      <c r="O58" s="107"/>
      <c r="P58" s="107"/>
      <c r="Q58" s="107"/>
    </row>
    <row r="59" spans="1:18" ht="5.25" customHeight="1" x14ac:dyDescent="0.2">
      <c r="A59" s="156"/>
      <c r="B59" s="156"/>
      <c r="C59" s="156"/>
      <c r="D59" s="156"/>
      <c r="E59" s="156"/>
      <c r="F59" s="156"/>
      <c r="G59" s="156"/>
      <c r="H59" s="156"/>
      <c r="I59" s="156"/>
      <c r="J59" s="156"/>
      <c r="K59" s="156"/>
      <c r="L59" s="156"/>
      <c r="M59" s="156"/>
      <c r="N59" s="156"/>
      <c r="O59" s="156"/>
      <c r="P59" s="156"/>
      <c r="Q59" s="156"/>
    </row>
    <row r="60" spans="1:18" s="146" customFormat="1" ht="5.25" customHeight="1" thickBot="1" x14ac:dyDescent="0.25">
      <c r="A60" s="3"/>
      <c r="B60" s="3"/>
      <c r="C60" s="3"/>
      <c r="D60" s="3"/>
      <c r="E60" s="3"/>
      <c r="F60" s="3"/>
      <c r="G60" s="3"/>
      <c r="H60" s="3"/>
      <c r="I60" s="3"/>
      <c r="J60" s="3"/>
      <c r="K60" s="3"/>
      <c r="L60" s="3"/>
      <c r="M60" s="3"/>
      <c r="N60" s="3"/>
      <c r="O60" s="3"/>
      <c r="P60" s="3"/>
      <c r="Q60" s="3"/>
    </row>
    <row r="61" spans="1:18" s="152" customFormat="1" ht="15" x14ac:dyDescent="0.25">
      <c r="A61" s="13" t="s">
        <v>559</v>
      </c>
      <c r="B61" s="170"/>
      <c r="C61" s="171" t="s">
        <v>557</v>
      </c>
      <c r="D61" s="9"/>
      <c r="E61" s="157" t="s">
        <v>20</v>
      </c>
      <c r="F61" s="158" t="s">
        <v>28</v>
      </c>
      <c r="G61" s="158" t="s">
        <v>29</v>
      </c>
      <c r="H61" s="158" t="s">
        <v>30</v>
      </c>
      <c r="I61" s="158" t="s">
        <v>31</v>
      </c>
      <c r="J61" s="158" t="s">
        <v>32</v>
      </c>
      <c r="K61" s="158" t="s">
        <v>33</v>
      </c>
      <c r="L61" s="158" t="s">
        <v>8</v>
      </c>
      <c r="M61" s="158" t="s">
        <v>9</v>
      </c>
      <c r="N61" s="158" t="s">
        <v>0</v>
      </c>
      <c r="O61" s="158" t="s">
        <v>2</v>
      </c>
      <c r="P61" s="158" t="s">
        <v>3</v>
      </c>
      <c r="Q61" s="158" t="s">
        <v>4</v>
      </c>
      <c r="R61" s="10"/>
    </row>
    <row r="62" spans="1:18" s="152" customFormat="1" ht="15" x14ac:dyDescent="0.25">
      <c r="B62" s="26"/>
      <c r="C62" s="159" t="s">
        <v>554</v>
      </c>
      <c r="D62" s="5"/>
      <c r="E62" s="153" t="e">
        <f>SUM(F62:Q62)</f>
        <v>#N/A</v>
      </c>
      <c r="F62" s="77" t="e">
        <f t="shared" ref="F62:Q62" si="45">SUM(F31,F38,F54)</f>
        <v>#N/A</v>
      </c>
      <c r="G62" s="77" t="e">
        <f t="shared" si="45"/>
        <v>#N/A</v>
      </c>
      <c r="H62" s="77" t="e">
        <f t="shared" si="45"/>
        <v>#N/A</v>
      </c>
      <c r="I62" s="77" t="e">
        <f t="shared" si="45"/>
        <v>#N/A</v>
      </c>
      <c r="J62" s="77" t="e">
        <f t="shared" si="45"/>
        <v>#N/A</v>
      </c>
      <c r="K62" s="77" t="e">
        <f t="shared" si="45"/>
        <v>#N/A</v>
      </c>
      <c r="L62" s="77" t="e">
        <f t="shared" si="45"/>
        <v>#N/A</v>
      </c>
      <c r="M62" s="77" t="e">
        <f t="shared" si="45"/>
        <v>#N/A</v>
      </c>
      <c r="N62" s="77" t="e">
        <f t="shared" si="45"/>
        <v>#N/A</v>
      </c>
      <c r="O62" s="77" t="e">
        <f t="shared" si="45"/>
        <v>#N/A</v>
      </c>
      <c r="P62" s="77" t="e">
        <f t="shared" si="45"/>
        <v>#N/A</v>
      </c>
      <c r="Q62" s="77" t="e">
        <f t="shared" si="45"/>
        <v>#N/A</v>
      </c>
      <c r="R62" s="27"/>
    </row>
    <row r="63" spans="1:18" s="152" customFormat="1" ht="15" x14ac:dyDescent="0.25">
      <c r="B63" s="26"/>
      <c r="C63" s="159" t="s">
        <v>555</v>
      </c>
      <c r="D63" s="5"/>
      <c r="E63" s="155" t="e">
        <f t="shared" ref="E63:E64" si="46">SUM(F63:Q63)</f>
        <v>#N/A</v>
      </c>
      <c r="F63" s="79" t="e">
        <f t="shared" ref="F63:Q63" si="47">SUM(F32,F39,F55)</f>
        <v>#N/A</v>
      </c>
      <c r="G63" s="79" t="e">
        <f t="shared" si="47"/>
        <v>#N/A</v>
      </c>
      <c r="H63" s="79" t="e">
        <f t="shared" si="47"/>
        <v>#N/A</v>
      </c>
      <c r="I63" s="79" t="e">
        <f t="shared" si="47"/>
        <v>#N/A</v>
      </c>
      <c r="J63" s="79" t="e">
        <f t="shared" si="47"/>
        <v>#N/A</v>
      </c>
      <c r="K63" s="79" t="e">
        <f t="shared" si="47"/>
        <v>#N/A</v>
      </c>
      <c r="L63" s="79" t="e">
        <f t="shared" si="47"/>
        <v>#N/A</v>
      </c>
      <c r="M63" s="79" t="e">
        <f t="shared" si="47"/>
        <v>#N/A</v>
      </c>
      <c r="N63" s="79" t="e">
        <f t="shared" si="47"/>
        <v>#N/A</v>
      </c>
      <c r="O63" s="79" t="e">
        <f t="shared" si="47"/>
        <v>#N/A</v>
      </c>
      <c r="P63" s="79" t="e">
        <f t="shared" si="47"/>
        <v>#N/A</v>
      </c>
      <c r="Q63" s="79" t="e">
        <f t="shared" si="47"/>
        <v>#N/A</v>
      </c>
      <c r="R63" s="27"/>
    </row>
    <row r="64" spans="1:18" s="152" customFormat="1" ht="15" x14ac:dyDescent="0.25">
      <c r="B64" s="26"/>
      <c r="C64" s="169" t="s">
        <v>561</v>
      </c>
      <c r="D64" s="5"/>
      <c r="E64" s="154" t="e">
        <f t="shared" si="46"/>
        <v>#N/A</v>
      </c>
      <c r="F64" s="34" t="e">
        <f>IF(F62&gt;=F63,F63,F62)</f>
        <v>#N/A</v>
      </c>
      <c r="G64" s="34" t="e">
        <f t="shared" ref="G64" si="48">IF(G62&gt;=G63,G63,G62)</f>
        <v>#N/A</v>
      </c>
      <c r="H64" s="34" t="e">
        <f t="shared" ref="H64" si="49">IF(H62&gt;=H63,H63,H62)</f>
        <v>#N/A</v>
      </c>
      <c r="I64" s="34" t="e">
        <f t="shared" ref="I64" si="50">IF(I62&gt;=I63,I63,I62)</f>
        <v>#N/A</v>
      </c>
      <c r="J64" s="34" t="e">
        <f t="shared" ref="J64" si="51">IF(J62&gt;=J63,J63,J62)</f>
        <v>#N/A</v>
      </c>
      <c r="K64" s="34" t="e">
        <f t="shared" ref="K64" si="52">IF(K62&gt;=K63,K63,K62)</f>
        <v>#N/A</v>
      </c>
      <c r="L64" s="34" t="e">
        <f t="shared" ref="L64" si="53">IF(L62&gt;=L63,L63,L62)</f>
        <v>#N/A</v>
      </c>
      <c r="M64" s="34" t="e">
        <f t="shared" ref="M64" si="54">IF(M62&gt;=M63,M63,M62)</f>
        <v>#N/A</v>
      </c>
      <c r="N64" s="34" t="e">
        <f t="shared" ref="N64" si="55">IF(N62&gt;=N63,N63,N62)</f>
        <v>#N/A</v>
      </c>
      <c r="O64" s="34" t="e">
        <f t="shared" ref="O64" si="56">IF(O62&gt;=O63,O63,O62)</f>
        <v>#N/A</v>
      </c>
      <c r="P64" s="34" t="e">
        <f t="shared" ref="P64" si="57">IF(P62&gt;=P63,P63,P62)</f>
        <v>#N/A</v>
      </c>
      <c r="Q64" s="34" t="e">
        <f t="shared" ref="Q64" si="58">IF(Q62&gt;=Q63,Q63,Q62)</f>
        <v>#N/A</v>
      </c>
      <c r="R64" s="27"/>
    </row>
    <row r="65" spans="1:18" s="152" customFormat="1" ht="15.75" thickBot="1" x14ac:dyDescent="0.3">
      <c r="B65" s="6"/>
      <c r="C65" s="172" t="s">
        <v>562</v>
      </c>
      <c r="D65" s="7"/>
      <c r="E65" s="160" t="e">
        <f>IF(E62&gt;=E63,E63,E62)</f>
        <v>#N/A</v>
      </c>
      <c r="F65" s="161"/>
      <c r="G65" s="161"/>
      <c r="H65" s="161"/>
      <c r="I65" s="161"/>
      <c r="J65" s="161"/>
      <c r="K65" s="161"/>
      <c r="L65" s="161"/>
      <c r="M65" s="161"/>
      <c r="N65" s="161"/>
      <c r="O65" s="161"/>
      <c r="P65" s="161"/>
      <c r="Q65" s="161"/>
      <c r="R65" s="8"/>
    </row>
    <row r="67" spans="1:18" s="152" customFormat="1" x14ac:dyDescent="0.2"/>
    <row r="68" spans="1:18" ht="51" x14ac:dyDescent="0.2">
      <c r="A68" s="173" t="s">
        <v>563</v>
      </c>
      <c r="B68" s="173" t="s">
        <v>564</v>
      </c>
      <c r="C68" s="174" t="s">
        <v>566</v>
      </c>
      <c r="D68" s="173"/>
      <c r="E68" s="174" t="s">
        <v>567</v>
      </c>
      <c r="F68" s="174" t="s">
        <v>570</v>
      </c>
    </row>
    <row r="69" spans="1:18" x14ac:dyDescent="0.2">
      <c r="A69" s="176" t="str">
        <f>C30</f>
        <v>SITE: Project Name -- Project Address</v>
      </c>
      <c r="B69" s="176">
        <f>INDEX($B$26:$B$26,MATCH(A69,$A$26:$A$26,0))</f>
        <v>2016</v>
      </c>
      <c r="C69" s="177">
        <f>E34</f>
        <v>0</v>
      </c>
      <c r="D69" s="176"/>
      <c r="E69" s="177">
        <f>E33</f>
        <v>0</v>
      </c>
      <c r="F69" s="176" t="s">
        <v>565</v>
      </c>
    </row>
    <row r="70" spans="1:18" x14ac:dyDescent="0.2">
      <c r="A70" s="176" t="e">
        <f>C37</f>
        <v>#N/A</v>
      </c>
      <c r="B70" s="176" t="e">
        <f>INDEX($B$26:$B$26,MATCH(A70,$A$26:$A$26,0))</f>
        <v>#N/A</v>
      </c>
      <c r="C70" s="177" t="e">
        <f>E41</f>
        <v>#N/A</v>
      </c>
      <c r="D70" s="176"/>
      <c r="E70" s="177" t="e">
        <f>E40</f>
        <v>#N/A</v>
      </c>
      <c r="F70" s="176" t="s">
        <v>565</v>
      </c>
    </row>
    <row r="71" spans="1:18" x14ac:dyDescent="0.2">
      <c r="A71" s="176" t="str">
        <f>C53</f>
        <v>NO SITE</v>
      </c>
      <c r="B71" s="176">
        <f>IF(ISERROR(INDEX($B$26:$B$26,MATCH(A71,$A$26:$A$26,0))),0,INDEX($B$26:$B$26,MATCH(A71,$A$26:$A$26,0)))</f>
        <v>0</v>
      </c>
      <c r="C71" s="177" t="e">
        <f>E57</f>
        <v>#REF!</v>
      </c>
      <c r="D71" s="176"/>
      <c r="E71" s="177" t="e">
        <f>E56</f>
        <v>#REF!</v>
      </c>
      <c r="F71" s="176" t="s">
        <v>565</v>
      </c>
    </row>
    <row r="72" spans="1:18" x14ac:dyDescent="0.2">
      <c r="A72" s="178" t="s">
        <v>568</v>
      </c>
      <c r="B72" s="178" t="e">
        <f>B70</f>
        <v>#N/A</v>
      </c>
      <c r="C72" s="31" t="e">
        <f>E49</f>
        <v>#N/A</v>
      </c>
      <c r="D72" s="178"/>
      <c r="E72" s="31" t="e">
        <f>E48</f>
        <v>#N/A</v>
      </c>
      <c r="F72" s="178" t="s">
        <v>569</v>
      </c>
    </row>
    <row r="73" spans="1:18" x14ac:dyDescent="0.2">
      <c r="A73" s="178" t="s">
        <v>571</v>
      </c>
      <c r="B73" s="178">
        <f>B71</f>
        <v>0</v>
      </c>
      <c r="C73" s="31" t="e">
        <f>E65</f>
        <v>#N/A</v>
      </c>
      <c r="D73" s="178"/>
      <c r="E73" s="31" t="e">
        <f>E64</f>
        <v>#N/A</v>
      </c>
      <c r="F73" s="178" t="s">
        <v>569</v>
      </c>
    </row>
  </sheetData>
  <customSheetViews>
    <customSheetView guid="{27ECCA9D-8222-4026-A3C8-C768CAE028E0}" scale="80" fitToPage="1">
      <selection activeCell="L30" sqref="L30"/>
      <rowBreaks count="2" manualBreakCount="2">
        <brk id="56" max="16383" man="1"/>
        <brk id="78" max="16383" man="1"/>
      </rowBreaks>
      <pageMargins left="0.7" right="0.7" top="0.75" bottom="0.75" header="0.3" footer="0.3"/>
      <printOptions headings="1" gridLines="1"/>
      <pageSetup paperSize="17" scale="64" fitToHeight="0" orientation="landscape" r:id="rId1"/>
    </customSheetView>
    <customSheetView guid="{D635BEAF-4410-44C3-8109-399BEE34BBD8}" scale="80" fitToPage="1">
      <selection activeCell="L30" sqref="L30"/>
      <rowBreaks count="2" manualBreakCount="2">
        <brk id="56" max="16383" man="1"/>
        <brk id="78" max="16383" man="1"/>
      </rowBreaks>
      <pageMargins left="0.7" right="0.7" top="0.75" bottom="0.75" header="0.3" footer="0.3"/>
      <printOptions headings="1" gridLines="1"/>
      <pageSetup paperSize="17" scale="64" fitToHeight="0" orientation="landscape" r:id="rId2"/>
    </customSheetView>
  </customSheetViews>
  <printOptions headings="1" gridLines="1"/>
  <pageMargins left="0.7" right="0.7" top="0.75" bottom="0.75" header="0.3" footer="0.3"/>
  <pageSetup paperSize="17" scale="64" fitToHeight="0" orientation="landscape" r:id="rId3"/>
  <drawing r:id="rId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workbookViewId="0">
      <selection activeCell="F69" sqref="F69"/>
    </sheetView>
  </sheetViews>
  <sheetFormatPr defaultRowHeight="12.75" x14ac:dyDescent="0.2"/>
  <cols>
    <col min="1" max="1" width="17.42578125" customWidth="1"/>
    <col min="2" max="2" width="12.5703125" style="28" customWidth="1"/>
    <col min="3" max="3" width="119.140625" customWidth="1"/>
  </cols>
  <sheetData>
    <row r="1" spans="1:3" s="1" customFormat="1" ht="38.25" x14ac:dyDescent="0.2">
      <c r="A1" s="184" t="s">
        <v>649</v>
      </c>
      <c r="B1" s="185" t="s">
        <v>650</v>
      </c>
      <c r="C1" s="186" t="s">
        <v>781</v>
      </c>
    </row>
    <row r="2" spans="1:3" x14ac:dyDescent="0.2">
      <c r="A2" s="80" t="s">
        <v>806</v>
      </c>
      <c r="B2" s="187">
        <v>42370</v>
      </c>
      <c r="C2" s="72" t="s">
        <v>807</v>
      </c>
    </row>
    <row r="3" spans="1:3" x14ac:dyDescent="0.2">
      <c r="A3" s="724"/>
      <c r="B3" s="725"/>
      <c r="C3" s="223"/>
    </row>
    <row r="4" spans="1:3" x14ac:dyDescent="0.2">
      <c r="A4" s="724"/>
      <c r="B4" s="725"/>
      <c r="C4" s="686"/>
    </row>
    <row r="5" spans="1:3" x14ac:dyDescent="0.2">
      <c r="A5" s="727"/>
      <c r="B5" s="725"/>
      <c r="C5" s="723"/>
    </row>
    <row r="6" spans="1:3" x14ac:dyDescent="0.2">
      <c r="A6" s="724"/>
      <c r="B6" s="725"/>
      <c r="C6" s="686"/>
    </row>
    <row r="7" spans="1:3" x14ac:dyDescent="0.2">
      <c r="A7" s="724"/>
      <c r="B7" s="725"/>
      <c r="C7" s="810"/>
    </row>
  </sheetData>
  <customSheetViews>
    <customSheetView guid="{27ECCA9D-8222-4026-A3C8-C768CAE028E0}">
      <selection activeCell="C27" sqref="C27"/>
      <pageMargins left="0.7" right="0.7" top="0.75" bottom="0.75" header="0.3" footer="0.3"/>
    </customSheetView>
    <customSheetView guid="{D635BEAF-4410-44C3-8109-399BEE34BBD8}">
      <pageMargins left="0.7" right="0.7" top="0.75" bottom="0.75" header="0.3" footer="0.3"/>
    </customSheetView>
  </customSheetView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11</vt:i4>
      </vt:variant>
    </vt:vector>
  </HeadingPairs>
  <TitlesOfParts>
    <vt:vector size="25" baseType="lpstr">
      <vt:lpstr>Readme</vt:lpstr>
      <vt:lpstr>1. Building Information</vt:lpstr>
      <vt:lpstr>2. Indoor Water Demand</vt:lpstr>
      <vt:lpstr>3. Indoor Non-Potable Supply</vt:lpstr>
      <vt:lpstr>4. Outdoor Water Demand</vt:lpstr>
      <vt:lpstr>5. Outdoor Non-Potable Supply</vt:lpstr>
      <vt:lpstr>6. Building Potential Summary</vt:lpstr>
      <vt:lpstr>7. Project Definition</vt:lpstr>
      <vt:lpstr>8. Printable Project Summary</vt:lpstr>
      <vt:lpstr>9. Printable Project Letter</vt:lpstr>
      <vt:lpstr>Calculator Backup</vt:lpstr>
      <vt:lpstr>Rainwater</vt:lpstr>
      <vt:lpstr>Supply-Demand by Month</vt:lpstr>
      <vt:lpstr>Version Notes</vt:lpstr>
      <vt:lpstr>'1. Building Information'!Print_Area</vt:lpstr>
      <vt:lpstr>'2. Indoor Water Demand'!Print_Area</vt:lpstr>
      <vt:lpstr>'3. Indoor Non-Potable Supply'!Print_Area</vt:lpstr>
      <vt:lpstr>'4. Outdoor Water Demand'!Print_Area</vt:lpstr>
      <vt:lpstr>'5. Outdoor Non-Potable Supply'!Print_Area</vt:lpstr>
      <vt:lpstr>'6. Building Potential Summary'!Print_Area</vt:lpstr>
      <vt:lpstr>'7. Project Definition'!Print_Area</vt:lpstr>
      <vt:lpstr>'8. Printable Project Summary'!Print_Area</vt:lpstr>
      <vt:lpstr>'9. Printable Project Letter'!Print_Area</vt:lpstr>
      <vt:lpstr>Rainwater!Print_Area</vt:lpstr>
      <vt:lpstr>Readme!Print_Area</vt:lpstr>
    </vt:vector>
  </TitlesOfParts>
  <Company>Hydroconsult Engineers,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SFPUC and Port of SF</dc:creator>
  <cp:lastModifiedBy>Pho, Kara</cp:lastModifiedBy>
  <cp:lastPrinted>2016-05-04T15:58:58Z</cp:lastPrinted>
  <dcterms:created xsi:type="dcterms:W3CDTF">2008-01-29T22:51:53Z</dcterms:created>
  <dcterms:modified xsi:type="dcterms:W3CDTF">2016-11-21T16:49:56Z</dcterms:modified>
</cp:coreProperties>
</file>